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5235" firstSheet="8" activeTab="11"/>
  </bookViews>
  <sheets>
    <sheet name="Mozart Reports" sheetId="1" state="veryHidden" r:id="rId1"/>
    <sheet name="FORMATO DE GASTOS-A-1" sheetId="2" r:id="rId2"/>
    <sheet name="FORMATO DE GASTOS-A-2" sheetId="3" r:id="rId3"/>
    <sheet name="FORMATO DE GASTOS-A-3" sheetId="4" r:id="rId4"/>
    <sheet name="FORMATO DE GASTOS-A-4" sheetId="5" r:id="rId5"/>
    <sheet name="FORMATO DE GASTOS-B-1" sheetId="6" r:id="rId6"/>
    <sheet name="FORMATO DE GASTOS-B-2" sheetId="7" r:id="rId7"/>
    <sheet name="FORMATO DE GASTOS-B-3" sheetId="8" r:id="rId8"/>
    <sheet name="FORMATO DE GASTOS-B-4" sheetId="9" r:id="rId9"/>
    <sheet name="FORMATO DE GASTOS-B-5" sheetId="10" r:id="rId10"/>
    <sheet name="FORMATO DE GASTOS-B-6" sheetId="11" r:id="rId11"/>
    <sheet name="FORMATO DE GASTOS-B-7" sheetId="12" r:id="rId12"/>
  </sheets>
  <definedNames>
    <definedName name="_xlnm.Print_Area" localSheetId="1">'FORMATO DE GASTOS-A-1'!$B$2:$L$49</definedName>
    <definedName name="_xlnm.Print_Area" localSheetId="2">'FORMATO DE GASTOS-A-2'!$B$2:$L$46</definedName>
    <definedName name="_xlnm.Print_Area" localSheetId="3">'FORMATO DE GASTOS-A-3'!$B$2:$L$55</definedName>
    <definedName name="_xlnm.Print_Area" localSheetId="4">'FORMATO DE GASTOS-A-4'!$B$2:$L$58</definedName>
    <definedName name="_xlnm.Print_Area" localSheetId="5">'FORMATO DE GASTOS-B-1'!$B$2:$K$58</definedName>
    <definedName name="_xlnm.Print_Area" localSheetId="6">'FORMATO DE GASTOS-B-2'!$B$2:$K$52</definedName>
    <definedName name="_xlnm.Print_Area" localSheetId="7">'FORMATO DE GASTOS-B-3'!$B$2:$K$79</definedName>
    <definedName name="_xlnm.Print_Area" localSheetId="8">'FORMATO DE GASTOS-B-4'!$B$2:$K$78</definedName>
    <definedName name="_xlnm.Print_Area" localSheetId="9">'FORMATO DE GASTOS-B-5'!$B$2:$K$78</definedName>
    <definedName name="_xlnm.Print_Area" localSheetId="10">'FORMATO DE GASTOS-B-6'!$B$2:$K$76</definedName>
    <definedName name="_xlnm.Print_Area" localSheetId="11">'FORMATO DE GASTOS-B-7'!$B$2:$K$74</definedName>
  </definedNames>
  <calcPr fullCalcOnLoad="1"/>
</workbook>
</file>

<file path=xl/sharedStrings.xml><?xml version="1.0" encoding="utf-8"?>
<sst xmlns="http://schemas.openxmlformats.org/spreadsheetml/2006/main" count="954" uniqueCount="370">
  <si>
    <t>455020e7fb46400a92f5be09bff5ef6e</t>
  </si>
  <si>
    <t xml:space="preserve">Fecha </t>
  </si>
  <si>
    <t>II. DETALLE DEL GASTO</t>
  </si>
  <si>
    <t>Comprobante de pago (b)</t>
  </si>
  <si>
    <t>Concepto de los gastos:</t>
  </si>
  <si>
    <t>I. PROVEEDOR</t>
  </si>
  <si>
    <t>I. DETALLE DEL GASTO</t>
  </si>
  <si>
    <t xml:space="preserve">II. PROVEEDOR </t>
  </si>
  <si>
    <t>II. PROVEEDOR</t>
  </si>
  <si>
    <t>Concepto (a)</t>
  </si>
  <si>
    <t>TOTAL</t>
  </si>
  <si>
    <r>
      <t>Gastos Financieros</t>
    </r>
    <r>
      <rPr>
        <sz val="9"/>
        <rFont val="Arial"/>
        <family val="2"/>
      </rPr>
      <t>: Gastos efectuados por el mantenimiento, préstamo y uso de recursos financieros en bancos y entidades financieras.</t>
    </r>
  </si>
  <si>
    <t xml:space="preserve">Firma del candidato </t>
  </si>
  <si>
    <t>DNI / RUC</t>
  </si>
  <si>
    <t>Fecha del gasto</t>
  </si>
  <si>
    <r>
      <t>OTROS GASTOS DE CAMPAÑA ELECTORAL:</t>
    </r>
    <r>
      <rPr>
        <sz val="9"/>
        <rFont val="Arial"/>
        <family val="2"/>
      </rPr>
      <t xml:space="preserve"> Consignar los gastos de personal, operativos y financieros efectuados por el candidato.</t>
    </r>
  </si>
  <si>
    <t>Especificación del gasto (d)</t>
  </si>
  <si>
    <t>OTROS GASTOS DE CAMPAÑA ELECTORAL EFECTUADOS POR CANDIDATOS</t>
  </si>
  <si>
    <t>GASTOS DE PUBLICIDAD ELECTORAL EFECTUADOS POR CANDIDATOS</t>
  </si>
  <si>
    <t>Presento este formato, en versión impresa y magnética a la organización política a la que pertenezco, y a la Oficina Regional de Coordinación ORC/ONPE de la localidad en la cual desarrollo mi campaña electoral.</t>
  </si>
  <si>
    <r>
      <t>(b)</t>
    </r>
    <r>
      <rPr>
        <sz val="9"/>
        <rFont val="Arial"/>
        <family val="2"/>
      </rPr>
      <t xml:space="preserve"> Nombre y Apellido o Razón Social: Persona natural o jurídica debidamente identificada. </t>
    </r>
  </si>
  <si>
    <r>
      <t xml:space="preserve">(a) </t>
    </r>
    <r>
      <rPr>
        <sz val="9"/>
        <rFont val="Arial"/>
        <family val="2"/>
      </rPr>
      <t xml:space="preserve"> Nombre o Razón Social: Persona natural o jurídica debidamente identificada. </t>
    </r>
  </si>
  <si>
    <r>
      <t xml:space="preserve">(b) </t>
    </r>
    <r>
      <rPr>
        <sz val="9"/>
        <rFont val="Arial"/>
        <family val="2"/>
      </rPr>
      <t xml:space="preserve">Comprobante de pago: Indicar el tipo y el número del comprobante que sustente el gasto de publicidad .  </t>
    </r>
  </si>
  <si>
    <r>
      <t>(d)</t>
    </r>
    <r>
      <rPr>
        <sz val="9"/>
        <rFont val="Arial"/>
        <family val="2"/>
      </rPr>
      <t xml:space="preserve"> Especificación del gasto: En el caso de Tv, Radio y Prensa, indicar el tiempo contratado en el medio de comunicación para la transmisión de la publicidad electoral:</t>
    </r>
  </si>
  <si>
    <t>N.º</t>
  </si>
  <si>
    <r>
      <t>Financiamiento del gasto</t>
    </r>
    <r>
      <rPr>
        <b/>
        <sz val="10"/>
        <rFont val="Arial"/>
        <family val="2"/>
      </rPr>
      <t xml:space="preserve"> (c):</t>
    </r>
  </si>
  <si>
    <r>
      <t xml:space="preserve">(c) </t>
    </r>
    <r>
      <rPr>
        <sz val="9"/>
        <rFont val="Arial"/>
        <family val="2"/>
      </rPr>
      <t xml:space="preserve">Financiamiento del gasto: Consignar el número que indique el tipo de financiamiento del gasto. </t>
    </r>
  </si>
  <si>
    <t xml:space="preserve">         - TV o Radio: fecha de transmisión, hora de inicio de la transmisión, duración, número de avisos.</t>
  </si>
  <si>
    <t xml:space="preserve">        - Mítines:especificar el gasto efectuado en el mitin, su financimiento y lugar donde se llevó a cabo.</t>
  </si>
  <si>
    <t xml:space="preserve">        - Prensa escrita  (Diario y Revista): fecha de publicación, página / posición, medidas.</t>
  </si>
  <si>
    <t>N. º</t>
  </si>
  <si>
    <t>Nombre  y Apellido / Razón Social  (b)</t>
  </si>
  <si>
    <r>
      <t>Gastos de Personal:</t>
    </r>
    <r>
      <rPr>
        <sz val="9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</si>
  <si>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9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</si>
  <si>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 xml:space="preserve">(a) </t>
    </r>
    <r>
      <rPr>
        <i/>
        <sz val="9"/>
        <rFont val="Arial"/>
        <family val="2"/>
      </rPr>
      <t>Concepto</t>
    </r>
    <r>
      <rPr>
        <sz val="9"/>
        <rFont val="Arial"/>
        <family val="2"/>
      </rPr>
      <t>: Detallar el gasto, ejm: alquiler de proyector, movilidad, refrigerios, otros.</t>
    </r>
  </si>
  <si>
    <t>Comprobante de Pago  (d)</t>
  </si>
  <si>
    <t>1=Dinero del candidato
2=Con aportes recibidos</t>
  </si>
  <si>
    <t>1=Factura
2=Bol. Vta.
3=Recib.Hon.
4=Otros</t>
  </si>
  <si>
    <t>Monto
S/.</t>
  </si>
  <si>
    <t xml:space="preserve">        - En Otros medios publicitarios, indicar el medio de publicidad, ejemplo: banners, gigantografía, volantes, letreros, polos, gorros, otros.</t>
  </si>
  <si>
    <t>Nombres y Apellidos /
Razón Social (a)</t>
  </si>
  <si>
    <r>
      <t xml:space="preserve">(d) </t>
    </r>
    <r>
      <rPr>
        <sz val="9"/>
        <rFont val="Arial"/>
        <family val="2"/>
      </rPr>
      <t>Comprobante de Pago: Indicar el tipo y el número del comprobante que sustente el gasto efectuado.</t>
    </r>
  </si>
  <si>
    <t>Nombre y Símbolo del Partido Político o Alianza Electoral</t>
  </si>
  <si>
    <r>
      <t>(c)</t>
    </r>
    <r>
      <rPr>
        <sz val="9"/>
        <rFont val="Arial"/>
        <family val="2"/>
      </rPr>
      <t xml:space="preserve"> Financiamiento del gasto: Consignar el número que indique el tipo de financiamiento del gasto.</t>
    </r>
  </si>
  <si>
    <t>1= Televisión
2= Radio
3= Prensa
4= Otros medios publicitarios
5= Mítines</t>
  </si>
  <si>
    <t>FORMATO DE GASTOS -  A</t>
  </si>
  <si>
    <t xml:space="preserve">                 FORMATO DE GASTOS -  B</t>
  </si>
  <si>
    <t>Nombres y apellidos del Candidato:   ROBERTO EDMUNDO ANGULO ALVAREZ</t>
  </si>
  <si>
    <t>Región donde postula:  LA LIBERTAD</t>
  </si>
  <si>
    <t>Tipo de Elección:      Congreso ( X )           Parlamento Andino  (  )</t>
  </si>
  <si>
    <t>20275737977</t>
  </si>
  <si>
    <t>5537</t>
  </si>
  <si>
    <t>Banners de 10", del 09/03/2011 al 22/03/2011.</t>
  </si>
  <si>
    <t>312 spots de 55", del 11/02/2011 al 08/04/2011.</t>
  </si>
  <si>
    <t>Optimus SRL - Canal Antena Norte</t>
  </si>
  <si>
    <t>10179787046</t>
  </si>
  <si>
    <t>Victor Raymundo Gil Rodriguez - Diplomat</t>
  </si>
  <si>
    <t>758</t>
  </si>
  <si>
    <t>32 spots de 22", del 01/04/2011 al 08/04/2011.</t>
  </si>
  <si>
    <t>60 spots de 28", del 19/03/2011 al 31/03/2011</t>
  </si>
  <si>
    <t>20132260673</t>
  </si>
  <si>
    <t>Radio Difusora Radio Ollantay SRL - Canal 3 TV</t>
  </si>
  <si>
    <t>Empresa Editora La Industria de Trujillo SA</t>
  </si>
  <si>
    <t>20132162230</t>
  </si>
  <si>
    <t>20308</t>
  </si>
  <si>
    <t>Externa Consulting SAC</t>
  </si>
  <si>
    <t>05 avisos del 15/02/2011 al 20/02/2011, Caratula (02), 29cm x 6cm y Pág. 2 (03), 26cm x 6cm.</t>
  </si>
  <si>
    <t>20482130063</t>
  </si>
  <si>
    <t>1135</t>
  </si>
  <si>
    <t>03 Avisos en Trome, del 26/02/2011 al 28/02/2011, 24.94cm x 4.5cm.</t>
  </si>
  <si>
    <t>Empresa Periodística Nacional SA</t>
  </si>
  <si>
    <t>20100087945</t>
  </si>
  <si>
    <t>94</t>
  </si>
  <si>
    <t>01 aviso el 27/03/2011, de 26.5 cm x 4.5 cm.</t>
  </si>
  <si>
    <t>Habilitaciones Textiles SAC</t>
  </si>
  <si>
    <t>20513376899</t>
  </si>
  <si>
    <t>1023</t>
  </si>
  <si>
    <t>Creaciones Axel - Yaqueline Isabel Milla Chávez</t>
  </si>
  <si>
    <t>10157619557</t>
  </si>
  <si>
    <t>219</t>
  </si>
  <si>
    <t xml:space="preserve">Confecciones Deportivas Victoria </t>
  </si>
  <si>
    <t>10180591341</t>
  </si>
  <si>
    <t>441</t>
  </si>
  <si>
    <t>100 polos estampados, de algodón.</t>
  </si>
  <si>
    <t>6 polos de piqué.</t>
  </si>
  <si>
    <t>6 bordados de polos piqué.</t>
  </si>
  <si>
    <t>250 polos estampados, de algodón.</t>
  </si>
  <si>
    <t>100 gorros estampados.</t>
  </si>
  <si>
    <t>Crayola Graphic</t>
  </si>
  <si>
    <t>1000 stickers para autos.</t>
  </si>
  <si>
    <t>Confecciones y Novedades Carito</t>
  </si>
  <si>
    <t>10180305403</t>
  </si>
  <si>
    <t>S/N</t>
  </si>
  <si>
    <t>15 banderas blancas estampadas de 80 x 50 cm.</t>
  </si>
  <si>
    <t>08 banderas blancas estampadas de 1.5 x  0.80 cm.</t>
  </si>
  <si>
    <t>La Esquina de las Maravilla</t>
  </si>
  <si>
    <t>10178127336</t>
  </si>
  <si>
    <t>40238</t>
  </si>
  <si>
    <t>02 banderas oficiales del Perú.</t>
  </si>
  <si>
    <t>Favi Estampados</t>
  </si>
  <si>
    <t>10425015686</t>
  </si>
  <si>
    <t>115</t>
  </si>
  <si>
    <t>02 banderas blancas estampadas de 1.5 m x 0.75 m.</t>
  </si>
  <si>
    <t>Electronica Aparicio Boubby SRLtda.</t>
  </si>
  <si>
    <t>20214337054</t>
  </si>
  <si>
    <t>1779</t>
  </si>
  <si>
    <t>02 equipos de perifoneo con sistema USB y bocina.</t>
  </si>
  <si>
    <t>Printx SAC</t>
  </si>
  <si>
    <t>20480859031</t>
  </si>
  <si>
    <t>23208</t>
  </si>
  <si>
    <t>01 banner de 5x3m y 01 banner de 3x2m.</t>
  </si>
  <si>
    <t>23224</t>
  </si>
  <si>
    <t>10 banners de 2.5 x 2m.</t>
  </si>
  <si>
    <t>23230</t>
  </si>
  <si>
    <t>23240</t>
  </si>
  <si>
    <t>10 banners de 2.5 x 2m y 01 banner de 1 x 1.5m.</t>
  </si>
  <si>
    <t>23266</t>
  </si>
  <si>
    <t>02 banners de 2.5 x 1.2m.</t>
  </si>
  <si>
    <t>23270</t>
  </si>
  <si>
    <t>10 banners de 1.5 x 1.2m.</t>
  </si>
  <si>
    <t>23296</t>
  </si>
  <si>
    <t>05 banners de 2.5m x 2m.</t>
  </si>
  <si>
    <t>23318</t>
  </si>
  <si>
    <t>10 banners de 1.5 x 1.2m y 04 banners de 2.5 x 1.2m.</t>
  </si>
  <si>
    <t>23350</t>
  </si>
  <si>
    <t>23359</t>
  </si>
  <si>
    <t>01 banner de 1 x 1.2m.</t>
  </si>
  <si>
    <t>23398</t>
  </si>
  <si>
    <t>19 banners de 1 x 1.2m.</t>
  </si>
  <si>
    <t>23562</t>
  </si>
  <si>
    <t>10 banners de 2.5 x 1.5m.</t>
  </si>
  <si>
    <t>23574</t>
  </si>
  <si>
    <t>23599</t>
  </si>
  <si>
    <t>Graphic Color SAC</t>
  </si>
  <si>
    <t>20440208402</t>
  </si>
  <si>
    <t>2864</t>
  </si>
  <si>
    <t>2849</t>
  </si>
  <si>
    <t>2851</t>
  </si>
  <si>
    <t>2858</t>
  </si>
  <si>
    <t>2869</t>
  </si>
  <si>
    <t>Maestro Peru SA</t>
  </si>
  <si>
    <t>20112273922</t>
  </si>
  <si>
    <t>41AWKD6</t>
  </si>
  <si>
    <t>Listones para armado de pancartas.</t>
  </si>
  <si>
    <t>41AWKT0</t>
  </si>
  <si>
    <t>Material para armado de pancartas.</t>
  </si>
  <si>
    <t>Maderera y ferretería Rodriguez</t>
  </si>
  <si>
    <t>10181453147</t>
  </si>
  <si>
    <t>263</t>
  </si>
  <si>
    <t>60 palos para armado de pancartas.</t>
  </si>
  <si>
    <t>Sodimac Peru SAC</t>
  </si>
  <si>
    <t>20389230724</t>
  </si>
  <si>
    <t>23857</t>
  </si>
  <si>
    <t>41AVVT2</t>
  </si>
  <si>
    <t>Wilser Gonzalo Chacon Cardenas</t>
  </si>
  <si>
    <t>10195600576</t>
  </si>
  <si>
    <t>Instalación de banners publicitarios.</t>
  </si>
  <si>
    <t>Nombres y apellidos del Candidato: ROBERTO EDMUNDO ANGULO ALVAREZ</t>
  </si>
  <si>
    <t>Tipo de Elección:         Congreso ( X )           Parlamento Andino  (  )</t>
  </si>
  <si>
    <t>Alquiler de camioneta para propaganda política.</t>
  </si>
  <si>
    <t>Servicio de Transporte Peruvian Services</t>
  </si>
  <si>
    <t>10179039635</t>
  </si>
  <si>
    <t>15</t>
  </si>
  <si>
    <t>16</t>
  </si>
  <si>
    <t>Pintura para pintado de murales para propaganda política.</t>
  </si>
  <si>
    <t>Solano Corporación Ferretera EIRL</t>
  </si>
  <si>
    <t>20481884358</t>
  </si>
  <si>
    <t>10952</t>
  </si>
  <si>
    <t>8774</t>
  </si>
  <si>
    <t>Dominio, grabación y edición de videos para web.</t>
  </si>
  <si>
    <t>Peru Folk Radio EIRL</t>
  </si>
  <si>
    <t>20481406375</t>
  </si>
  <si>
    <t>21</t>
  </si>
  <si>
    <t>5 millares de impresión de fichas para personeros.</t>
  </si>
  <si>
    <t>M&amp;R SRL</t>
  </si>
  <si>
    <t>20481520828</t>
  </si>
  <si>
    <t>223</t>
  </si>
  <si>
    <t>1/2 millar de papel bond para fichas de personeros.</t>
  </si>
  <si>
    <t>Fantasia Librería Bazar</t>
  </si>
  <si>
    <t>10180878535</t>
  </si>
  <si>
    <t>3049</t>
  </si>
  <si>
    <t>Combustible a unidades de transporte.</t>
  </si>
  <si>
    <t>Checapet SRL</t>
  </si>
  <si>
    <t>20132001902</t>
  </si>
  <si>
    <t>354752</t>
  </si>
  <si>
    <t>Gasolinas de America SAC</t>
  </si>
  <si>
    <t>20536053621</t>
  </si>
  <si>
    <t>10311</t>
  </si>
  <si>
    <t>Vicente Del fin Cabada SA</t>
  </si>
  <si>
    <t>20439519551</t>
  </si>
  <si>
    <t>29518</t>
  </si>
  <si>
    <t>Grifo Amigo SA</t>
  </si>
  <si>
    <t>20354793416</t>
  </si>
  <si>
    <t>3063</t>
  </si>
  <si>
    <t>Coesti SA E/S Union</t>
  </si>
  <si>
    <t>20127765279</t>
  </si>
  <si>
    <t>157799</t>
  </si>
  <si>
    <t>Coesti SA E/S España</t>
  </si>
  <si>
    <t>540555</t>
  </si>
  <si>
    <t>353796</t>
  </si>
  <si>
    <t>20330033313</t>
  </si>
  <si>
    <t>1073</t>
  </si>
  <si>
    <t>158776</t>
  </si>
  <si>
    <t>20482666494</t>
  </si>
  <si>
    <t>21023</t>
  </si>
  <si>
    <t>Servicios Las Flores del Golf SAC</t>
  </si>
  <si>
    <t>20954</t>
  </si>
  <si>
    <t>17148</t>
  </si>
  <si>
    <t>Griluse SRL</t>
  </si>
  <si>
    <t>20176915464</t>
  </si>
  <si>
    <t>42963</t>
  </si>
  <si>
    <t>354334</t>
  </si>
  <si>
    <t>Peruana de Estacion de Servicios SAC</t>
  </si>
  <si>
    <t>1001118</t>
  </si>
  <si>
    <t>155928</t>
  </si>
  <si>
    <t>355239</t>
  </si>
  <si>
    <t>355725</t>
  </si>
  <si>
    <t>511804</t>
  </si>
  <si>
    <t>21572</t>
  </si>
  <si>
    <t>21571</t>
  </si>
  <si>
    <t>11597</t>
  </si>
  <si>
    <t>Coesti SA E/S Larco</t>
  </si>
  <si>
    <t>217</t>
  </si>
  <si>
    <t>159684</t>
  </si>
  <si>
    <t>1001003</t>
  </si>
  <si>
    <t>827715</t>
  </si>
  <si>
    <t>Servicios La Esperanza</t>
  </si>
  <si>
    <t>10192397249</t>
  </si>
  <si>
    <t>152725</t>
  </si>
  <si>
    <t>Estacion de Servicios Ultra Combustibles del Peru SRL</t>
  </si>
  <si>
    <t>20440392572</t>
  </si>
  <si>
    <t>142611</t>
  </si>
  <si>
    <t>Repsol Comercial  SAC</t>
  </si>
  <si>
    <t>20503840121</t>
  </si>
  <si>
    <t>53878</t>
  </si>
  <si>
    <t>Grifo Huamachuco SRL</t>
  </si>
  <si>
    <t>20274444666</t>
  </si>
  <si>
    <t>99848</t>
  </si>
  <si>
    <t>521204</t>
  </si>
  <si>
    <t>Concesionaria Vial del Sol SA</t>
  </si>
  <si>
    <t xml:space="preserve">Peaje </t>
  </si>
  <si>
    <t>20522547957</t>
  </si>
  <si>
    <t>598278</t>
  </si>
  <si>
    <t>589094</t>
  </si>
  <si>
    <t>611417</t>
  </si>
  <si>
    <t>Autopista del Norte SAC</t>
  </si>
  <si>
    <t>20520929658</t>
  </si>
  <si>
    <t>321632941</t>
  </si>
  <si>
    <t>581435</t>
  </si>
  <si>
    <t>321719072</t>
  </si>
  <si>
    <t>618396</t>
  </si>
  <si>
    <t>617939</t>
  </si>
  <si>
    <t>600625</t>
  </si>
  <si>
    <t>Tiendas Raymondi</t>
  </si>
  <si>
    <t>10415372839</t>
  </si>
  <si>
    <t>7707</t>
  </si>
  <si>
    <t>Panadería Mary</t>
  </si>
  <si>
    <t>10266383288</t>
  </si>
  <si>
    <t>16937</t>
  </si>
  <si>
    <t>La Casona</t>
  </si>
  <si>
    <t>10191920711</t>
  </si>
  <si>
    <t>3347</t>
  </si>
  <si>
    <t>Café Briceño</t>
  </si>
  <si>
    <t>10192497936</t>
  </si>
  <si>
    <t>3981</t>
  </si>
  <si>
    <t>Miyalai SAC</t>
  </si>
  <si>
    <t>Refrigerio del personal en campaña política.</t>
  </si>
  <si>
    <t>Almuerzo del personal en campaña política.</t>
  </si>
  <si>
    <t>20536685422</t>
  </si>
  <si>
    <t>1832</t>
  </si>
  <si>
    <t>Chinesse Food EIRL</t>
  </si>
  <si>
    <t>20482067353</t>
  </si>
  <si>
    <t>117</t>
  </si>
  <si>
    <t>112</t>
  </si>
  <si>
    <t>129</t>
  </si>
  <si>
    <t>125</t>
  </si>
  <si>
    <t>Restaurant Turistico Creollo Sabor</t>
  </si>
  <si>
    <t>20481209201</t>
  </si>
  <si>
    <t>8652</t>
  </si>
  <si>
    <t>Chifa Chuy Zhen EIRL</t>
  </si>
  <si>
    <t>20482403132</t>
  </si>
  <si>
    <t>3822</t>
  </si>
  <si>
    <t>Gran Hotel El Golf Trujillo</t>
  </si>
  <si>
    <t>20274361531</t>
  </si>
  <si>
    <t>311</t>
  </si>
  <si>
    <t>Fonseca EIRL</t>
  </si>
  <si>
    <t>Cena del personal en campaña política.</t>
  </si>
  <si>
    <t>20481720754</t>
  </si>
  <si>
    <t>6503</t>
  </si>
  <si>
    <t>31</t>
  </si>
  <si>
    <t>32</t>
  </si>
  <si>
    <t>Peruana de Estaciones de Servicios SAC</t>
  </si>
  <si>
    <t>Cataluna Servi Eventos SAC</t>
  </si>
  <si>
    <t>20440276742</t>
  </si>
  <si>
    <t>34</t>
  </si>
  <si>
    <t>135</t>
  </si>
  <si>
    <t>Corporación Mitani SAC</t>
  </si>
  <si>
    <t>20481217211</t>
  </si>
  <si>
    <t>15472</t>
  </si>
  <si>
    <t>Gasservise Inversiones SAC</t>
  </si>
  <si>
    <t>20481988056</t>
  </si>
  <si>
    <t>26223</t>
  </si>
  <si>
    <t>Útiles de escritorio</t>
  </si>
  <si>
    <t>Rash Peru SAC</t>
  </si>
  <si>
    <t>20378890161</t>
  </si>
  <si>
    <t>92566</t>
  </si>
  <si>
    <t>Laboratorio Fotográfico  Digital Colors EIRL</t>
  </si>
  <si>
    <t xml:space="preserve">Memorias USB </t>
  </si>
  <si>
    <t>20481602719</t>
  </si>
  <si>
    <t>516</t>
  </si>
  <si>
    <t>Librería Bazar Renacimiento</t>
  </si>
  <si>
    <t>10026011138</t>
  </si>
  <si>
    <t>107363</t>
  </si>
  <si>
    <t>Copy Ventas SRL</t>
  </si>
  <si>
    <t>20132051322</t>
  </si>
  <si>
    <t>17475</t>
  </si>
  <si>
    <t>17482</t>
  </si>
  <si>
    <t>17634</t>
  </si>
  <si>
    <t>17643</t>
  </si>
  <si>
    <t>17642</t>
  </si>
  <si>
    <t>Envío de publicidad a local de campaña.</t>
  </si>
  <si>
    <t>Transportes Linea SA</t>
  </si>
  <si>
    <t>20438933272</t>
  </si>
  <si>
    <t>31803</t>
  </si>
  <si>
    <t>4587</t>
  </si>
  <si>
    <t>44905</t>
  </si>
  <si>
    <t>105028</t>
  </si>
  <si>
    <t>19880</t>
  </si>
  <si>
    <t>Turismo Garrincha SA</t>
  </si>
  <si>
    <t>20315425965</t>
  </si>
  <si>
    <t>6727</t>
  </si>
  <si>
    <t>96172</t>
  </si>
  <si>
    <t>96171</t>
  </si>
  <si>
    <t>Fuentes &amp; CO SA</t>
  </si>
  <si>
    <t>20315118442</t>
  </si>
  <si>
    <t>5874</t>
  </si>
  <si>
    <t>Empresa de Transportes Agreda e Hijos SA</t>
  </si>
  <si>
    <t>20132363481</t>
  </si>
  <si>
    <t>6055</t>
  </si>
  <si>
    <t>Imprenta Gutemberg</t>
  </si>
  <si>
    <t>Carmen Denisse Rodriguez Rodriguez</t>
  </si>
  <si>
    <t>Repartición de volantes en local partidario.</t>
  </si>
  <si>
    <t>Gypsy Edith Rodriguez Rodriguez</t>
  </si>
  <si>
    <t>Jose Angel Fernandez Zapata</t>
  </si>
  <si>
    <t>03821010</t>
  </si>
  <si>
    <t>Maria Francisca Vasquez Contreras</t>
  </si>
  <si>
    <t>18058629</t>
  </si>
  <si>
    <t>Pedro Augusto Azabache Anhuaman</t>
  </si>
  <si>
    <t>18015886</t>
  </si>
  <si>
    <t>André Eric Plasencia Pozada</t>
  </si>
  <si>
    <t>43611944</t>
  </si>
  <si>
    <t>Catherine Burga Ruiz</t>
  </si>
  <si>
    <t>Bessy Mendoza Flores</t>
  </si>
  <si>
    <t>Eraclio López</t>
  </si>
  <si>
    <t>Asesoria de imagen y publicidad</t>
  </si>
  <si>
    <t>Yulissa Jackelin Sandoval Santa Cruz</t>
  </si>
  <si>
    <t>43834552</t>
  </si>
  <si>
    <t>Radio La Grande - Richard Arguedas</t>
  </si>
  <si>
    <t>27</t>
  </si>
  <si>
    <t>DNI: 06293811</t>
  </si>
  <si>
    <t>Dirección: Los Sauces 792 - Urb. California</t>
  </si>
  <si>
    <t>Correo electrónico:  robertoangulo@terra.com.pe</t>
  </si>
  <si>
    <t xml:space="preserve">                      Período: Del 11/02/2011 al 31/03/2011</t>
  </si>
  <si>
    <t>4 millares de almanaques, 60 millares de calendarios de bolsillo, 10 millares de afiches y 24 millares de volantes.</t>
  </si>
  <si>
    <t>4 millares de almanaques, 60 millares de calendarios de bolsillo, 10 millares de afiches y 156 millares de volantes.</t>
  </si>
  <si>
    <t>8 millares de almanaques, 120 millares de calendarios de bolsillo, 240 millares de volantes.</t>
  </si>
  <si>
    <t>8 millares de almanaques, 120 millares de calendarios de bolsillo.</t>
  </si>
  <si>
    <t>192 millares de volantes.</t>
  </si>
  <si>
    <t>Período: Del 11/02/2011 al 31/03/2011</t>
  </si>
  <si>
    <t>Cinta de Mini DV</t>
  </si>
</sst>
</file>

<file path=xl/styles.xml><?xml version="1.0" encoding="utf-8"?>
<styleSheet xmlns="http://schemas.openxmlformats.org/spreadsheetml/2006/main">
  <numFmts count="3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&quot;*&quot;\ #,##0_ ;_ &quot;*&quot;\ \-#,##0_ ;_ &quot;*&quot;\ &quot;-&quot;_ ;_ @_ "/>
    <numFmt numFmtId="173" formatCode="_ &quot;*&quot;\ #,##0.00_ ;_ &quot;*&quot;\ \-#,##0.00_ ;_ &quot;*&quot;\ &quot;-&quot;??_ ;_ @_ "/>
    <numFmt numFmtId="174" formatCode="_ &quot;$&quot;&quot;*&quot;\ #,##0_ ;_ &quot;$&quot;&quot;*&quot;\ \-#,##0_ ;_ &quot;$&quot;&quot;*&quot;\ &quot;-&quot;_ ;_ @_ "/>
    <numFmt numFmtId="175" formatCode="_ &quot;$&quot;&quot;*&quot;\ #,##0.00_ ;_ &quot;$&quot;&quot;*&quot;\ \-#,##0.00_ ;_ &quot;$&quot;&quot;*&quot;\ &quot;-&quot;??_ ;_ @_ "/>
    <numFmt numFmtId="176" formatCode="&quot;S/.&quot;\ #,##0.00"/>
    <numFmt numFmtId="177" formatCode="0.0"/>
    <numFmt numFmtId="178" formatCode="0.0000"/>
    <numFmt numFmtId="179" formatCode="0.000"/>
    <numFmt numFmtId="180" formatCode="0.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3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32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32" borderId="11" xfId="0" applyNumberFormat="1" applyFont="1" applyFill="1" applyBorder="1" applyAlignment="1">
      <alignment/>
    </xf>
    <xf numFmtId="4" fontId="0" fillId="32" borderId="11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49" fontId="0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176" fontId="6" fillId="33" borderId="13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Font="1" applyBorder="1" applyAlignment="1">
      <alignment/>
    </xf>
    <xf numFmtId="14" fontId="0" fillId="32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9" fontId="0" fillId="32" borderId="22" xfId="0" applyNumberFormat="1" applyFont="1" applyFill="1" applyBorder="1" applyAlignment="1">
      <alignment/>
    </xf>
    <xf numFmtId="4" fontId="0" fillId="32" borderId="22" xfId="0" applyNumberFormat="1" applyFont="1" applyFill="1" applyBorder="1" applyAlignment="1">
      <alignment/>
    </xf>
    <xf numFmtId="0" fontId="10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8" fillId="0" borderId="15" xfId="0" applyFont="1" applyBorder="1" applyAlignment="1">
      <alignment/>
    </xf>
    <xf numFmtId="0" fontId="7" fillId="0" borderId="13" xfId="0" applyFont="1" applyBorder="1" applyAlignment="1">
      <alignment/>
    </xf>
    <xf numFmtId="14" fontId="0" fillId="32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6" fillId="33" borderId="24" xfId="0" applyFont="1" applyFill="1" applyBorder="1" applyAlignment="1">
      <alignment horizontal="right"/>
    </xf>
    <xf numFmtId="0" fontId="6" fillId="33" borderId="25" xfId="0" applyFont="1" applyFill="1" applyBorder="1" applyAlignment="1">
      <alignment horizontal="right"/>
    </xf>
    <xf numFmtId="14" fontId="0" fillId="0" borderId="1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2" borderId="26" xfId="0" applyNumberFormat="1" applyFont="1" applyFill="1" applyBorder="1" applyAlignment="1">
      <alignment/>
    </xf>
    <xf numFmtId="176" fontId="6" fillId="33" borderId="25" xfId="0" applyNumberFormat="1" applyFont="1" applyFill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27" xfId="0" applyNumberFormat="1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49" fontId="0" fillId="0" borderId="29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vertical="top" wrapText="1"/>
    </xf>
    <xf numFmtId="4" fontId="0" fillId="0" borderId="3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33" borderId="15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5" fillId="32" borderId="31" xfId="0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6" fillId="33" borderId="32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14" fontId="3" fillId="0" borderId="17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9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32" borderId="1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0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6" fillId="0" borderId="20" xfId="0" applyFont="1" applyBorder="1" applyAlignment="1">
      <alignment/>
    </xf>
    <xf numFmtId="0" fontId="3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right"/>
    </xf>
    <xf numFmtId="1" fontId="0" fillId="0" borderId="29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 horizontal="center"/>
    </xf>
    <xf numFmtId="14" fontId="0" fillId="0" borderId="35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right"/>
    </xf>
    <xf numFmtId="1" fontId="0" fillId="0" borderId="26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 vertical="top" wrapText="1"/>
    </xf>
    <xf numFmtId="0" fontId="3" fillId="32" borderId="31" xfId="0" applyFont="1" applyFill="1" applyBorder="1" applyAlignment="1">
      <alignment horizontal="left" vertical="center" wrapText="1"/>
    </xf>
    <xf numFmtId="49" fontId="3" fillId="32" borderId="31" xfId="0" applyNumberFormat="1" applyFont="1" applyFill="1" applyBorder="1" applyAlignment="1">
      <alignment horizontal="center" vertical="center" wrapText="1"/>
    </xf>
    <xf numFmtId="14" fontId="0" fillId="0" borderId="37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right"/>
    </xf>
    <xf numFmtId="49" fontId="0" fillId="0" borderId="33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/>
    </xf>
    <xf numFmtId="1" fontId="0" fillId="0" borderId="27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vertical="top" wrapText="1"/>
    </xf>
    <xf numFmtId="49" fontId="0" fillId="0" borderId="33" xfId="0" applyNumberFormat="1" applyFont="1" applyFill="1" applyBorder="1" applyAlignment="1">
      <alignment vertical="top" wrapText="1"/>
    </xf>
    <xf numFmtId="14" fontId="0" fillId="0" borderId="3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 vertical="top" wrapText="1"/>
    </xf>
    <xf numFmtId="14" fontId="0" fillId="0" borderId="11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34" xfId="0" applyNumberFormat="1" applyFont="1" applyFill="1" applyBorder="1" applyAlignment="1">
      <alignment vertical="top" wrapText="1"/>
    </xf>
    <xf numFmtId="49" fontId="0" fillId="0" borderId="38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6" fillId="32" borderId="4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14" fontId="3" fillId="32" borderId="42" xfId="0" applyNumberFormat="1" applyFont="1" applyFill="1" applyBorder="1" applyAlignment="1">
      <alignment horizontal="center" vertical="center" wrapText="1"/>
    </xf>
    <xf numFmtId="14" fontId="3" fillId="32" borderId="43" xfId="0" applyNumberFormat="1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left" vertical="center" wrapText="1"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6" fillId="32" borderId="24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49" fontId="3" fillId="32" borderId="18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49" fontId="0" fillId="0" borderId="23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0" fillId="0" borderId="43" xfId="0" applyNumberFormat="1" applyFont="1" applyFill="1" applyBorder="1" applyAlignment="1">
      <alignment horizontal="left" vertical="top" wrapText="1"/>
    </xf>
    <xf numFmtId="49" fontId="0" fillId="0" borderId="42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49" fontId="0" fillId="0" borderId="23" xfId="0" applyNumberFormat="1" applyFont="1" applyFill="1" applyBorder="1" applyAlignment="1">
      <alignment vertical="top" wrapText="1"/>
    </xf>
    <xf numFmtId="49" fontId="0" fillId="0" borderId="43" xfId="0" applyNumberFormat="1" applyFont="1" applyFill="1" applyBorder="1" applyAlignment="1">
      <alignment vertical="top" wrapText="1"/>
    </xf>
    <xf numFmtId="0" fontId="3" fillId="32" borderId="2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3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24</xdr:row>
      <xdr:rowOff>171450</xdr:rowOff>
    </xdr:from>
    <xdr:to>
      <xdr:col>4</xdr:col>
      <xdr:colOff>266700</xdr:colOff>
      <xdr:row>24</xdr:row>
      <xdr:rowOff>171450</xdr:rowOff>
    </xdr:to>
    <xdr:sp>
      <xdr:nvSpPr>
        <xdr:cNvPr id="1" name="5 Conector recto"/>
        <xdr:cNvSpPr>
          <a:spLocks/>
        </xdr:cNvSpPr>
      </xdr:nvSpPr>
      <xdr:spPr>
        <a:xfrm>
          <a:off x="152400" y="4524375"/>
          <a:ext cx="1914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2</xdr:row>
      <xdr:rowOff>0</xdr:rowOff>
    </xdr:from>
    <xdr:to>
      <xdr:col>2</xdr:col>
      <xdr:colOff>495300</xdr:colOff>
      <xdr:row>7</xdr:row>
      <xdr:rowOff>38100</xdr:rowOff>
    </xdr:to>
    <xdr:pic>
      <xdr:nvPicPr>
        <xdr:cNvPr id="2" name="2 Imagen" descr="gana-per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571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31</xdr:row>
      <xdr:rowOff>152400</xdr:rowOff>
    </xdr:from>
    <xdr:to>
      <xdr:col>4</xdr:col>
      <xdr:colOff>304800</xdr:colOff>
      <xdr:row>31</xdr:row>
      <xdr:rowOff>152400</xdr:rowOff>
    </xdr:to>
    <xdr:sp>
      <xdr:nvSpPr>
        <xdr:cNvPr id="3" name="4 Conector recto"/>
        <xdr:cNvSpPr>
          <a:spLocks/>
        </xdr:cNvSpPr>
      </xdr:nvSpPr>
      <xdr:spPr>
        <a:xfrm>
          <a:off x="161925" y="58388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409575</xdr:colOff>
      <xdr:row>5</xdr:row>
      <xdr:rowOff>9525</xdr:rowOff>
    </xdr:to>
    <xdr:pic>
      <xdr:nvPicPr>
        <xdr:cNvPr id="1" name="2 Imagen" descr="gana-per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714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18</xdr:row>
      <xdr:rowOff>0</xdr:rowOff>
    </xdr:from>
    <xdr:to>
      <xdr:col>11</xdr:col>
      <xdr:colOff>723900</xdr:colOff>
      <xdr:row>22</xdr:row>
      <xdr:rowOff>66675</xdr:rowOff>
    </xdr:to>
    <xdr:pic>
      <xdr:nvPicPr>
        <xdr:cNvPr id="1" name="2 Imagen" descr="gana-per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40195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</xdr:row>
      <xdr:rowOff>0</xdr:rowOff>
    </xdr:from>
    <xdr:to>
      <xdr:col>2</xdr:col>
      <xdr:colOff>466725</xdr:colOff>
      <xdr:row>5</xdr:row>
      <xdr:rowOff>0</xdr:rowOff>
    </xdr:to>
    <xdr:pic>
      <xdr:nvPicPr>
        <xdr:cNvPr id="2" name="3 Imagen" descr="gana-per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714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66675</xdr:rowOff>
    </xdr:from>
    <xdr:to>
      <xdr:col>2</xdr:col>
      <xdr:colOff>495300</xdr:colOff>
      <xdr:row>6</xdr:row>
      <xdr:rowOff>85725</xdr:rowOff>
    </xdr:to>
    <xdr:pic>
      <xdr:nvPicPr>
        <xdr:cNvPr id="1" name="3 Imagen" descr="gana-per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2385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4</xdr:col>
      <xdr:colOff>533400</xdr:colOff>
      <xdr:row>29</xdr:row>
      <xdr:rowOff>0</xdr:rowOff>
    </xdr:to>
    <xdr:sp>
      <xdr:nvSpPr>
        <xdr:cNvPr id="2" name="5 Conector recto"/>
        <xdr:cNvSpPr>
          <a:spLocks/>
        </xdr:cNvSpPr>
      </xdr:nvSpPr>
      <xdr:spPr>
        <a:xfrm>
          <a:off x="142875" y="534352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38</xdr:row>
      <xdr:rowOff>0</xdr:rowOff>
    </xdr:from>
    <xdr:to>
      <xdr:col>4</xdr:col>
      <xdr:colOff>638175</xdr:colOff>
      <xdr:row>38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52400" y="54959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2</xdr:row>
      <xdr:rowOff>0</xdr:rowOff>
    </xdr:from>
    <xdr:to>
      <xdr:col>2</xdr:col>
      <xdr:colOff>495300</xdr:colOff>
      <xdr:row>6</xdr:row>
      <xdr:rowOff>47625</xdr:rowOff>
    </xdr:to>
    <xdr:pic>
      <xdr:nvPicPr>
        <xdr:cNvPr id="2" name="2 Imagen" descr="gana-per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571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40</xdr:row>
      <xdr:rowOff>161925</xdr:rowOff>
    </xdr:from>
    <xdr:to>
      <xdr:col>4</xdr:col>
      <xdr:colOff>685800</xdr:colOff>
      <xdr:row>40</xdr:row>
      <xdr:rowOff>161925</xdr:rowOff>
    </xdr:to>
    <xdr:sp>
      <xdr:nvSpPr>
        <xdr:cNvPr id="1" name="1 Conector recto"/>
        <xdr:cNvSpPr>
          <a:spLocks/>
        </xdr:cNvSpPr>
      </xdr:nvSpPr>
      <xdr:spPr>
        <a:xfrm>
          <a:off x="219075" y="505777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2</xdr:row>
      <xdr:rowOff>0</xdr:rowOff>
    </xdr:from>
    <xdr:to>
      <xdr:col>2</xdr:col>
      <xdr:colOff>504825</xdr:colOff>
      <xdr:row>5</xdr:row>
      <xdr:rowOff>9525</xdr:rowOff>
    </xdr:to>
    <xdr:pic>
      <xdr:nvPicPr>
        <xdr:cNvPr id="2" name="2 Imagen" descr="gana-per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717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38</xdr:row>
      <xdr:rowOff>152400</xdr:rowOff>
    </xdr:from>
    <xdr:to>
      <xdr:col>3</xdr:col>
      <xdr:colOff>1809750</xdr:colOff>
      <xdr:row>38</xdr:row>
      <xdr:rowOff>152400</xdr:rowOff>
    </xdr:to>
    <xdr:sp>
      <xdr:nvSpPr>
        <xdr:cNvPr id="1" name="1 Conector recto"/>
        <xdr:cNvSpPr>
          <a:spLocks/>
        </xdr:cNvSpPr>
      </xdr:nvSpPr>
      <xdr:spPr>
        <a:xfrm>
          <a:off x="466725" y="6486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200025</xdr:colOff>
      <xdr:row>2</xdr:row>
      <xdr:rowOff>0</xdr:rowOff>
    </xdr:from>
    <xdr:to>
      <xdr:col>2</xdr:col>
      <xdr:colOff>485775</xdr:colOff>
      <xdr:row>5</xdr:row>
      <xdr:rowOff>38100</xdr:rowOff>
    </xdr:to>
    <xdr:pic>
      <xdr:nvPicPr>
        <xdr:cNvPr id="2" name="2 Imagen" descr="gana-per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714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161925</xdr:rowOff>
    </xdr:from>
    <xdr:to>
      <xdr:col>2</xdr:col>
      <xdr:colOff>333375</xdr:colOff>
      <xdr:row>4</xdr:row>
      <xdr:rowOff>28575</xdr:rowOff>
    </xdr:to>
    <xdr:pic>
      <xdr:nvPicPr>
        <xdr:cNvPr id="1" name="2 Imagen" descr="gana-per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333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142875</xdr:rowOff>
    </xdr:from>
    <xdr:to>
      <xdr:col>2</xdr:col>
      <xdr:colOff>400050</xdr:colOff>
      <xdr:row>4</xdr:row>
      <xdr:rowOff>57150</xdr:rowOff>
    </xdr:to>
    <xdr:pic>
      <xdr:nvPicPr>
        <xdr:cNvPr id="1" name="2 Imagen" descr="gana-per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143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123825</xdr:rowOff>
    </xdr:from>
    <xdr:to>
      <xdr:col>2</xdr:col>
      <xdr:colOff>409575</xdr:colOff>
      <xdr:row>4</xdr:row>
      <xdr:rowOff>47625</xdr:rowOff>
    </xdr:to>
    <xdr:pic>
      <xdr:nvPicPr>
        <xdr:cNvPr id="1" name="2 Imagen" descr="gana-per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171450</xdr:rowOff>
    </xdr:from>
    <xdr:to>
      <xdr:col>2</xdr:col>
      <xdr:colOff>361950</xdr:colOff>
      <xdr:row>5</xdr:row>
      <xdr:rowOff>0</xdr:rowOff>
    </xdr:to>
    <xdr:pic>
      <xdr:nvPicPr>
        <xdr:cNvPr id="1" name="2 Imagen" descr="gana-per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4290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119"/>
  <sheetViews>
    <sheetView zoomScale="75" zoomScaleNormal="75" zoomScalePageLayoutView="0" workbookViewId="0" topLeftCell="A1">
      <selection activeCell="D7" sqref="D7:D8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41.140625" style="0" customWidth="1"/>
    <col min="5" max="5" width="14.8515625" style="0" customWidth="1"/>
    <col min="6" max="6" width="38.00390625" style="54" customWidth="1"/>
    <col min="7" max="7" width="19.140625" style="54" customWidth="1"/>
    <col min="8" max="8" width="17.8515625" style="0" customWidth="1"/>
    <col min="9" max="9" width="13.00390625" style="54" customWidth="1"/>
    <col min="10" max="10" width="20.421875" style="95" customWidth="1"/>
    <col min="11" max="11" width="3.00390625" style="0" customWidth="1"/>
  </cols>
  <sheetData>
    <row r="1" ht="13.5" thickBot="1"/>
    <row r="2" spans="2:11" ht="15.75">
      <c r="B2" s="45"/>
      <c r="C2" s="125" t="s">
        <v>42</v>
      </c>
      <c r="D2" s="126"/>
      <c r="E2" s="28"/>
      <c r="F2" s="55"/>
      <c r="G2" s="55"/>
      <c r="H2" s="28"/>
      <c r="I2" s="135" t="s">
        <v>46</v>
      </c>
      <c r="J2" s="135"/>
      <c r="K2" s="136"/>
    </row>
    <row r="3" spans="2:11" ht="6.75" customHeight="1">
      <c r="B3" s="130"/>
      <c r="C3" s="131"/>
      <c r="D3" s="132"/>
      <c r="E3" s="1"/>
      <c r="F3" s="56"/>
      <c r="G3" s="56"/>
      <c r="H3" s="1"/>
      <c r="I3" s="61"/>
      <c r="J3" s="61"/>
      <c r="K3" s="133"/>
    </row>
    <row r="4" spans="2:11" ht="21" customHeight="1">
      <c r="B4" s="32"/>
      <c r="C4" s="191" t="s">
        <v>17</v>
      </c>
      <c r="D4" s="192"/>
      <c r="E4" s="192"/>
      <c r="F4" s="192"/>
      <c r="G4" s="192"/>
      <c r="H4" s="192"/>
      <c r="I4" s="192"/>
      <c r="J4" s="193"/>
      <c r="K4" s="53"/>
    </row>
    <row r="5" spans="2:11" ht="6.75" customHeight="1">
      <c r="B5" s="32"/>
      <c r="C5" s="194"/>
      <c r="D5" s="194"/>
      <c r="E5" s="194"/>
      <c r="F5" s="194"/>
      <c r="G5" s="194"/>
      <c r="H5" s="194"/>
      <c r="I5" s="194"/>
      <c r="J5" s="194"/>
      <c r="K5" s="53"/>
    </row>
    <row r="6" spans="2:11" ht="9.75" customHeight="1">
      <c r="B6" s="32"/>
      <c r="C6" s="194" t="s">
        <v>368</v>
      </c>
      <c r="D6" s="194"/>
      <c r="E6" s="194"/>
      <c r="F6" s="194"/>
      <c r="G6" s="194"/>
      <c r="H6" s="194"/>
      <c r="I6" s="194"/>
      <c r="J6" s="194"/>
      <c r="K6" s="53"/>
    </row>
    <row r="7" spans="2:11" ht="7.5" customHeight="1">
      <c r="B7" s="32"/>
      <c r="C7" s="26"/>
      <c r="D7" s="26"/>
      <c r="E7" s="26"/>
      <c r="F7" s="26"/>
      <c r="G7" s="26"/>
      <c r="H7" s="26"/>
      <c r="I7" s="26"/>
      <c r="J7" s="96"/>
      <c r="K7" s="53"/>
    </row>
    <row r="8" spans="2:11" ht="12.75">
      <c r="B8" s="32"/>
      <c r="C8" s="15" t="s">
        <v>157</v>
      </c>
      <c r="D8" s="26"/>
      <c r="E8" s="26"/>
      <c r="F8" s="62"/>
      <c r="G8" s="61" t="s">
        <v>158</v>
      </c>
      <c r="H8" s="62"/>
      <c r="I8" s="62"/>
      <c r="J8" s="62"/>
      <c r="K8" s="53"/>
    </row>
    <row r="9" spans="2:11" ht="12.75">
      <c r="B9" s="32"/>
      <c r="C9" s="15" t="s">
        <v>48</v>
      </c>
      <c r="D9" s="26"/>
      <c r="E9" s="26"/>
      <c r="F9" s="26"/>
      <c r="G9" s="50"/>
      <c r="H9" s="50"/>
      <c r="I9" s="13"/>
      <c r="J9" s="102"/>
      <c r="K9" s="53"/>
    </row>
    <row r="10" spans="2:11" ht="7.5" customHeight="1" thickBot="1">
      <c r="B10" s="32"/>
      <c r="C10" s="1"/>
      <c r="D10" s="1"/>
      <c r="E10" s="1"/>
      <c r="F10" s="56"/>
      <c r="G10" s="56"/>
      <c r="H10" s="56"/>
      <c r="I10" s="56"/>
      <c r="J10" s="97"/>
      <c r="K10" s="53"/>
    </row>
    <row r="11" spans="2:11" s="25" customFormat="1" ht="21.75" customHeight="1" thickBot="1">
      <c r="B11" s="46"/>
      <c r="C11" s="234" t="s">
        <v>6</v>
      </c>
      <c r="D11" s="235"/>
      <c r="E11" s="236"/>
      <c r="F11" s="234" t="s">
        <v>7</v>
      </c>
      <c r="G11" s="237"/>
      <c r="H11" s="237"/>
      <c r="I11" s="235"/>
      <c r="J11" s="236"/>
      <c r="K11" s="47"/>
    </row>
    <row r="12" spans="2:11" s="25" customFormat="1" ht="28.5" customHeight="1" thickBot="1">
      <c r="B12" s="46"/>
      <c r="C12" s="211" t="s">
        <v>1</v>
      </c>
      <c r="D12" s="208" t="s">
        <v>9</v>
      </c>
      <c r="E12" s="211" t="s">
        <v>38</v>
      </c>
      <c r="F12" s="239" t="s">
        <v>31</v>
      </c>
      <c r="G12" s="211" t="s">
        <v>13</v>
      </c>
      <c r="H12" s="124" t="s">
        <v>25</v>
      </c>
      <c r="I12" s="230" t="s">
        <v>35</v>
      </c>
      <c r="J12" s="231"/>
      <c r="K12" s="47"/>
    </row>
    <row r="13" spans="2:11" s="25" customFormat="1" ht="61.5" customHeight="1" thickBot="1">
      <c r="B13" s="46"/>
      <c r="C13" s="213"/>
      <c r="D13" s="238"/>
      <c r="E13" s="213"/>
      <c r="F13" s="240"/>
      <c r="G13" s="241"/>
      <c r="H13" s="151" t="s">
        <v>36</v>
      </c>
      <c r="I13" s="94" t="s">
        <v>37</v>
      </c>
      <c r="J13" s="152" t="s">
        <v>30</v>
      </c>
      <c r="K13" s="47"/>
    </row>
    <row r="14" spans="2:11" s="38" customFormat="1" ht="12.75" customHeight="1">
      <c r="B14" s="39"/>
      <c r="C14" s="80">
        <v>40624</v>
      </c>
      <c r="D14" s="83" t="s">
        <v>286</v>
      </c>
      <c r="E14" s="87">
        <f>39/1.18</f>
        <v>33.05084745762712</v>
      </c>
      <c r="F14" s="180" t="s">
        <v>285</v>
      </c>
      <c r="G14" s="184" t="s">
        <v>287</v>
      </c>
      <c r="H14" s="142">
        <v>2</v>
      </c>
      <c r="I14" s="138">
        <v>1</v>
      </c>
      <c r="J14" s="141" t="s">
        <v>288</v>
      </c>
      <c r="K14" s="64"/>
    </row>
    <row r="15" spans="2:11" s="38" customFormat="1" ht="12.75" customHeight="1">
      <c r="B15" s="39"/>
      <c r="C15" s="143">
        <v>40624</v>
      </c>
      <c r="D15" s="150" t="s">
        <v>320</v>
      </c>
      <c r="E15" s="149">
        <f>21/1.18</f>
        <v>17.796610169491526</v>
      </c>
      <c r="F15" s="145" t="s">
        <v>321</v>
      </c>
      <c r="G15" s="156" t="s">
        <v>322</v>
      </c>
      <c r="H15" s="148">
        <v>2</v>
      </c>
      <c r="I15" s="144">
        <v>1</v>
      </c>
      <c r="J15" s="147" t="s">
        <v>325</v>
      </c>
      <c r="K15" s="64"/>
    </row>
    <row r="16" spans="2:11" s="38" customFormat="1" ht="12.75" customHeight="1">
      <c r="B16" s="39"/>
      <c r="C16" s="80">
        <v>40625</v>
      </c>
      <c r="D16" s="83" t="s">
        <v>266</v>
      </c>
      <c r="E16" s="87">
        <v>17.5</v>
      </c>
      <c r="F16" s="180" t="s">
        <v>253</v>
      </c>
      <c r="G16" s="186" t="s">
        <v>254</v>
      </c>
      <c r="H16" s="142">
        <v>1</v>
      </c>
      <c r="I16" s="138">
        <v>2</v>
      </c>
      <c r="J16" s="141" t="s">
        <v>255</v>
      </c>
      <c r="K16" s="64"/>
    </row>
    <row r="17" spans="2:11" s="38" customFormat="1" ht="12.75" customHeight="1">
      <c r="B17" s="39"/>
      <c r="C17" s="80">
        <v>40625</v>
      </c>
      <c r="D17" s="85" t="s">
        <v>267</v>
      </c>
      <c r="E17" s="87">
        <f>56/1.18</f>
        <v>47.45762711864407</v>
      </c>
      <c r="F17" s="5" t="s">
        <v>282</v>
      </c>
      <c r="G17" s="83" t="s">
        <v>283</v>
      </c>
      <c r="H17" s="142">
        <v>2</v>
      </c>
      <c r="I17" s="138">
        <v>1</v>
      </c>
      <c r="J17" s="141" t="s">
        <v>284</v>
      </c>
      <c r="K17" s="64"/>
    </row>
    <row r="18" spans="2:11" s="38" customFormat="1" ht="14.25" customHeight="1">
      <c r="B18" s="39"/>
      <c r="C18" s="143">
        <v>40625</v>
      </c>
      <c r="D18" s="146" t="s">
        <v>286</v>
      </c>
      <c r="E18" s="149">
        <f>44.5/1.18</f>
        <v>37.71186440677966</v>
      </c>
      <c r="F18" s="145" t="s">
        <v>296</v>
      </c>
      <c r="G18" s="156" t="s">
        <v>297</v>
      </c>
      <c r="H18" s="148">
        <v>2</v>
      </c>
      <c r="I18" s="144">
        <v>1</v>
      </c>
      <c r="J18" s="147" t="s">
        <v>298</v>
      </c>
      <c r="K18" s="64"/>
    </row>
    <row r="19" spans="2:12" s="38" customFormat="1" ht="14.25" customHeight="1">
      <c r="B19" s="39"/>
      <c r="C19" s="80">
        <v>40626</v>
      </c>
      <c r="D19" s="85" t="s">
        <v>181</v>
      </c>
      <c r="E19" s="87">
        <f>60.01/1.18</f>
        <v>50.855932203389834</v>
      </c>
      <c r="F19" s="5" t="s">
        <v>205</v>
      </c>
      <c r="G19" s="83" t="s">
        <v>203</v>
      </c>
      <c r="H19" s="142">
        <v>2</v>
      </c>
      <c r="I19" s="138">
        <v>1</v>
      </c>
      <c r="J19" s="141" t="s">
        <v>219</v>
      </c>
      <c r="K19" s="64"/>
      <c r="L19" s="175">
        <f>+SUMIF(H14:H29,1,E14:E29)</f>
        <v>217.5</v>
      </c>
    </row>
    <row r="20" spans="2:12" s="38" customFormat="1" ht="14.25" customHeight="1">
      <c r="B20" s="39"/>
      <c r="C20" s="73">
        <v>40626</v>
      </c>
      <c r="D20" s="169" t="s">
        <v>181</v>
      </c>
      <c r="E20" s="74">
        <f>51.3/1.18</f>
        <v>43.47457627118644</v>
      </c>
      <c r="F20" s="162" t="s">
        <v>185</v>
      </c>
      <c r="G20" s="162" t="s">
        <v>186</v>
      </c>
      <c r="H20" s="127">
        <v>2</v>
      </c>
      <c r="I20" s="128">
        <v>1</v>
      </c>
      <c r="J20" s="141" t="s">
        <v>220</v>
      </c>
      <c r="K20" s="64"/>
      <c r="L20" s="175">
        <f>+SUMIF(H14:H29,2,E14:E29)</f>
        <v>553.2966101694915</v>
      </c>
    </row>
    <row r="21" spans="2:11" s="38" customFormat="1" ht="12.75" customHeight="1">
      <c r="B21" s="39"/>
      <c r="C21" s="171">
        <v>40626</v>
      </c>
      <c r="D21" s="168" t="s">
        <v>181</v>
      </c>
      <c r="E21" s="155">
        <f>70/1.18</f>
        <v>59.32203389830509</v>
      </c>
      <c r="F21" s="41" t="s">
        <v>205</v>
      </c>
      <c r="G21" s="164" t="s">
        <v>203</v>
      </c>
      <c r="H21" s="166">
        <v>2</v>
      </c>
      <c r="I21" s="158">
        <v>1</v>
      </c>
      <c r="J21" s="159" t="s">
        <v>218</v>
      </c>
      <c r="K21" s="64"/>
    </row>
    <row r="22" spans="2:11" s="38" customFormat="1" ht="13.5" customHeight="1">
      <c r="B22" s="39"/>
      <c r="C22" s="143">
        <v>40626</v>
      </c>
      <c r="D22" s="150" t="s">
        <v>98</v>
      </c>
      <c r="E22" s="149">
        <v>50</v>
      </c>
      <c r="F22" s="145" t="s">
        <v>95</v>
      </c>
      <c r="G22" s="156" t="s">
        <v>96</v>
      </c>
      <c r="H22" s="148">
        <v>1</v>
      </c>
      <c r="I22" s="144">
        <v>2</v>
      </c>
      <c r="J22" s="147" t="s">
        <v>97</v>
      </c>
      <c r="K22" s="64"/>
    </row>
    <row r="23" spans="2:11" s="38" customFormat="1" ht="12.75" customHeight="1">
      <c r="B23" s="39"/>
      <c r="C23" s="73">
        <v>40627</v>
      </c>
      <c r="D23" s="169" t="s">
        <v>102</v>
      </c>
      <c r="E23" s="87">
        <v>36</v>
      </c>
      <c r="F23" s="5" t="s">
        <v>99</v>
      </c>
      <c r="G23" s="162" t="s">
        <v>100</v>
      </c>
      <c r="H23" s="167">
        <v>2</v>
      </c>
      <c r="I23" s="138">
        <v>2</v>
      </c>
      <c r="J23" s="141" t="s">
        <v>101</v>
      </c>
      <c r="K23" s="64"/>
    </row>
    <row r="24" spans="2:11" s="38" customFormat="1" ht="12.75" customHeight="1">
      <c r="B24" s="39"/>
      <c r="C24" s="80">
        <v>40627</v>
      </c>
      <c r="D24" s="85" t="s">
        <v>320</v>
      </c>
      <c r="E24" s="87">
        <f>20/1.18</f>
        <v>16.949152542372882</v>
      </c>
      <c r="F24" s="85" t="s">
        <v>321</v>
      </c>
      <c r="G24" s="83" t="s">
        <v>322</v>
      </c>
      <c r="H24" s="142">
        <v>2</v>
      </c>
      <c r="I24" s="138">
        <v>1</v>
      </c>
      <c r="J24" s="141" t="s">
        <v>327</v>
      </c>
      <c r="K24" s="64"/>
    </row>
    <row r="25" spans="2:11" s="38" customFormat="1" ht="12.75" customHeight="1">
      <c r="B25" s="39"/>
      <c r="C25" s="80">
        <v>40627</v>
      </c>
      <c r="D25" s="85" t="s">
        <v>320</v>
      </c>
      <c r="E25" s="87">
        <f>15/1.18</f>
        <v>12.711864406779661</v>
      </c>
      <c r="F25" s="85" t="s">
        <v>333</v>
      </c>
      <c r="G25" s="83" t="s">
        <v>334</v>
      </c>
      <c r="H25" s="142">
        <v>2</v>
      </c>
      <c r="I25" s="138">
        <v>1</v>
      </c>
      <c r="J25" s="141" t="s">
        <v>335</v>
      </c>
      <c r="K25" s="64"/>
    </row>
    <row r="26" spans="2:11" s="38" customFormat="1" ht="12.75" customHeight="1">
      <c r="B26" s="39"/>
      <c r="C26" s="153">
        <v>40628</v>
      </c>
      <c r="D26" s="154" t="s">
        <v>320</v>
      </c>
      <c r="E26" s="155">
        <v>20</v>
      </c>
      <c r="F26" s="41" t="s">
        <v>321</v>
      </c>
      <c r="G26" s="156" t="s">
        <v>322</v>
      </c>
      <c r="H26" s="157">
        <v>2</v>
      </c>
      <c r="I26" s="158">
        <v>2</v>
      </c>
      <c r="J26" s="159" t="s">
        <v>324</v>
      </c>
      <c r="K26" s="64"/>
    </row>
    <row r="27" spans="2:11" s="38" customFormat="1" ht="12.75" customHeight="1">
      <c r="B27" s="39"/>
      <c r="C27" s="73">
        <v>40628</v>
      </c>
      <c r="D27" s="85" t="s">
        <v>159</v>
      </c>
      <c r="E27" s="74">
        <v>150</v>
      </c>
      <c r="F27" s="162" t="s">
        <v>353</v>
      </c>
      <c r="G27" s="162"/>
      <c r="H27" s="127">
        <v>1</v>
      </c>
      <c r="I27" s="128">
        <v>4</v>
      </c>
      <c r="J27" s="141" t="s">
        <v>92</v>
      </c>
      <c r="K27" s="64"/>
    </row>
    <row r="28" spans="2:11" s="38" customFormat="1" ht="12.75" customHeight="1" thickBot="1">
      <c r="B28" s="39"/>
      <c r="C28" s="73">
        <v>40628</v>
      </c>
      <c r="D28" s="169" t="s">
        <v>181</v>
      </c>
      <c r="E28" s="87">
        <f>210/1.18</f>
        <v>177.96610169491527</v>
      </c>
      <c r="F28" s="5" t="s">
        <v>299</v>
      </c>
      <c r="G28" s="162" t="s">
        <v>300</v>
      </c>
      <c r="H28" s="167">
        <v>2</v>
      </c>
      <c r="I28" s="138">
        <v>1</v>
      </c>
      <c r="J28" s="141" t="s">
        <v>301</v>
      </c>
      <c r="K28" s="64"/>
    </row>
    <row r="29" spans="2:11" ht="13.5" hidden="1" thickBot="1">
      <c r="B29" s="32"/>
      <c r="C29" s="3"/>
      <c r="D29" s="48"/>
      <c r="E29" s="44"/>
      <c r="F29" s="57"/>
      <c r="G29" s="57"/>
      <c r="H29" s="43"/>
      <c r="I29" s="58"/>
      <c r="J29" s="98"/>
      <c r="K29" s="53"/>
    </row>
    <row r="30" spans="2:11" ht="13.5" hidden="1" thickBot="1">
      <c r="B30" s="32"/>
      <c r="C30" s="20"/>
      <c r="D30" s="19"/>
      <c r="E30" s="7"/>
      <c r="F30" s="59"/>
      <c r="G30" s="59"/>
      <c r="H30" s="6"/>
      <c r="I30" s="60"/>
      <c r="J30" s="99"/>
      <c r="K30" s="53"/>
    </row>
    <row r="31" spans="2:11" ht="13.5" hidden="1" thickBot="1">
      <c r="B31" s="32"/>
      <c r="C31" s="20"/>
      <c r="D31" s="19"/>
      <c r="E31" s="7"/>
      <c r="F31" s="59"/>
      <c r="G31" s="59"/>
      <c r="H31" s="6"/>
      <c r="I31" s="60"/>
      <c r="J31" s="99"/>
      <c r="K31" s="53"/>
    </row>
    <row r="32" spans="2:11" ht="13.5" hidden="1" thickBot="1">
      <c r="B32" s="32"/>
      <c r="C32" s="20"/>
      <c r="D32" s="19"/>
      <c r="E32" s="7"/>
      <c r="F32" s="59"/>
      <c r="G32" s="59"/>
      <c r="H32" s="6"/>
      <c r="I32" s="60"/>
      <c r="J32" s="99"/>
      <c r="K32" s="53"/>
    </row>
    <row r="33" spans="2:11" ht="13.5" hidden="1" thickBot="1">
      <c r="B33" s="32"/>
      <c r="C33" s="20"/>
      <c r="D33" s="19"/>
      <c r="E33" s="7"/>
      <c r="F33" s="59"/>
      <c r="G33" s="59"/>
      <c r="H33" s="6"/>
      <c r="I33" s="60"/>
      <c r="J33" s="99"/>
      <c r="K33" s="53"/>
    </row>
    <row r="34" spans="2:11" ht="13.5" hidden="1" thickBot="1">
      <c r="B34" s="32"/>
      <c r="C34" s="20"/>
      <c r="D34" s="19"/>
      <c r="E34" s="7"/>
      <c r="F34" s="59"/>
      <c r="G34" s="59"/>
      <c r="H34" s="6"/>
      <c r="I34" s="60"/>
      <c r="J34" s="99"/>
      <c r="K34" s="53"/>
    </row>
    <row r="35" spans="2:11" ht="13.5" hidden="1" thickBot="1">
      <c r="B35" s="32"/>
      <c r="C35" s="20"/>
      <c r="D35" s="19"/>
      <c r="E35" s="7"/>
      <c r="F35" s="59"/>
      <c r="G35" s="59"/>
      <c r="H35" s="6"/>
      <c r="I35" s="60"/>
      <c r="J35" s="99"/>
      <c r="K35" s="53"/>
    </row>
    <row r="36" spans="2:11" ht="13.5" hidden="1" thickBot="1">
      <c r="B36" s="32"/>
      <c r="C36" s="20"/>
      <c r="D36" s="19"/>
      <c r="E36" s="7"/>
      <c r="F36" s="59"/>
      <c r="G36" s="59"/>
      <c r="H36" s="6"/>
      <c r="I36" s="60"/>
      <c r="J36" s="99"/>
      <c r="K36" s="53"/>
    </row>
    <row r="37" spans="2:11" ht="13.5" hidden="1" thickBot="1">
      <c r="B37" s="32"/>
      <c r="C37" s="20"/>
      <c r="D37" s="19"/>
      <c r="E37" s="7"/>
      <c r="F37" s="59"/>
      <c r="G37" s="59"/>
      <c r="H37" s="6"/>
      <c r="I37" s="60"/>
      <c r="J37" s="99"/>
      <c r="K37" s="53"/>
    </row>
    <row r="38" spans="2:11" ht="13.5" hidden="1" thickBot="1">
      <c r="B38" s="32"/>
      <c r="C38" s="20"/>
      <c r="D38" s="19"/>
      <c r="E38" s="7"/>
      <c r="F38" s="59"/>
      <c r="G38" s="59"/>
      <c r="H38" s="6"/>
      <c r="I38" s="60"/>
      <c r="J38" s="99"/>
      <c r="K38" s="53"/>
    </row>
    <row r="39" spans="2:11" ht="13.5" hidden="1" thickBot="1">
      <c r="B39" s="32"/>
      <c r="C39" s="20"/>
      <c r="D39" s="19"/>
      <c r="E39" s="7"/>
      <c r="F39" s="59"/>
      <c r="G39" s="59"/>
      <c r="H39" s="6"/>
      <c r="I39" s="60"/>
      <c r="J39" s="99"/>
      <c r="K39" s="53"/>
    </row>
    <row r="40" spans="2:11" ht="13.5" hidden="1" thickBot="1">
      <c r="B40" s="32"/>
      <c r="C40" s="20"/>
      <c r="D40" s="19"/>
      <c r="E40" s="7"/>
      <c r="F40" s="59"/>
      <c r="G40" s="59"/>
      <c r="H40" s="6"/>
      <c r="I40" s="60"/>
      <c r="J40" s="99"/>
      <c r="K40" s="53"/>
    </row>
    <row r="41" spans="2:11" ht="13.5" hidden="1" thickBot="1">
      <c r="B41" s="32"/>
      <c r="C41" s="20"/>
      <c r="D41" s="19"/>
      <c r="E41" s="7"/>
      <c r="F41" s="59"/>
      <c r="G41" s="59"/>
      <c r="H41" s="6"/>
      <c r="I41" s="60"/>
      <c r="J41" s="99"/>
      <c r="K41" s="53"/>
    </row>
    <row r="42" spans="2:11" ht="13.5" hidden="1" thickBot="1">
      <c r="B42" s="32"/>
      <c r="C42" s="20"/>
      <c r="D42" s="19"/>
      <c r="E42" s="7"/>
      <c r="F42" s="59"/>
      <c r="G42" s="59"/>
      <c r="H42" s="91"/>
      <c r="I42" s="60"/>
      <c r="J42" s="99"/>
      <c r="K42" s="53"/>
    </row>
    <row r="43" spans="2:11" ht="13.5" hidden="1" thickBot="1">
      <c r="B43" s="32"/>
      <c r="C43" s="20"/>
      <c r="D43" s="19"/>
      <c r="E43" s="7"/>
      <c r="F43" s="59"/>
      <c r="G43" s="59"/>
      <c r="H43" s="1"/>
      <c r="I43" s="60"/>
      <c r="J43" s="99"/>
      <c r="K43" s="53"/>
    </row>
    <row r="44" spans="2:11" ht="13.5" hidden="1" thickBot="1">
      <c r="B44" s="32"/>
      <c r="C44" s="20"/>
      <c r="D44" s="19"/>
      <c r="E44" s="7"/>
      <c r="F44" s="59"/>
      <c r="G44" s="59"/>
      <c r="H44" s="1"/>
      <c r="I44" s="60"/>
      <c r="J44" s="99"/>
      <c r="K44" s="53"/>
    </row>
    <row r="45" spans="2:11" ht="13.5" hidden="1" thickBot="1">
      <c r="B45" s="32"/>
      <c r="C45" s="20"/>
      <c r="D45" s="19"/>
      <c r="E45" s="7"/>
      <c r="F45" s="59"/>
      <c r="G45" s="59"/>
      <c r="H45" s="1"/>
      <c r="I45" s="60"/>
      <c r="J45" s="99"/>
      <c r="K45" s="53"/>
    </row>
    <row r="46" spans="2:11" ht="13.5" hidden="1" thickBot="1">
      <c r="B46" s="32"/>
      <c r="C46" s="20"/>
      <c r="D46" s="19"/>
      <c r="E46" s="7"/>
      <c r="F46" s="59"/>
      <c r="G46" s="59"/>
      <c r="H46" s="1"/>
      <c r="I46" s="60"/>
      <c r="J46" s="99"/>
      <c r="K46" s="53"/>
    </row>
    <row r="47" spans="2:11" ht="13.5" hidden="1" thickBot="1">
      <c r="B47" s="32"/>
      <c r="C47" s="20"/>
      <c r="D47" s="19"/>
      <c r="E47" s="7"/>
      <c r="F47" s="59"/>
      <c r="G47" s="59"/>
      <c r="H47" s="1"/>
      <c r="I47" s="60"/>
      <c r="J47" s="99"/>
      <c r="K47" s="53"/>
    </row>
    <row r="48" spans="2:11" ht="13.5" hidden="1" thickBot="1">
      <c r="B48" s="32"/>
      <c r="C48" s="67"/>
      <c r="D48" s="68"/>
      <c r="E48" s="75"/>
      <c r="F48" s="69"/>
      <c r="G48" s="69"/>
      <c r="H48" s="1"/>
      <c r="I48" s="70"/>
      <c r="J48" s="100"/>
      <c r="K48" s="53"/>
    </row>
    <row r="49" spans="2:11" ht="13.5" thickBot="1">
      <c r="B49" s="32"/>
      <c r="C49" s="71"/>
      <c r="D49" s="88"/>
      <c r="E49" s="76">
        <f>SUM(E14:E48)</f>
        <v>770.7966101694915</v>
      </c>
      <c r="F49" s="71"/>
      <c r="G49" s="72"/>
      <c r="H49" s="72"/>
      <c r="I49" s="72"/>
      <c r="J49" s="101"/>
      <c r="K49" s="53"/>
    </row>
    <row r="50" spans="2:11" ht="12.75">
      <c r="B50" s="32"/>
      <c r="C50" s="18" t="s">
        <v>19</v>
      </c>
      <c r="D50" s="13"/>
      <c r="E50" s="13"/>
      <c r="F50" s="56"/>
      <c r="G50" s="56"/>
      <c r="H50" s="1"/>
      <c r="I50" s="56"/>
      <c r="J50" s="97"/>
      <c r="K50" s="53"/>
    </row>
    <row r="51" spans="2:11" ht="12.75">
      <c r="B51" s="32"/>
      <c r="C51" s="24"/>
      <c r="D51" s="1"/>
      <c r="E51" s="1"/>
      <c r="F51" s="56"/>
      <c r="G51" s="56"/>
      <c r="H51" s="1"/>
      <c r="I51" s="56"/>
      <c r="J51" s="97"/>
      <c r="K51" s="53"/>
    </row>
    <row r="52" spans="2:11" ht="11.25" customHeight="1">
      <c r="B52" s="32"/>
      <c r="C52" s="1"/>
      <c r="D52" s="1"/>
      <c r="E52" s="1"/>
      <c r="F52" s="56"/>
      <c r="G52" s="56"/>
      <c r="H52" s="1"/>
      <c r="I52" s="56"/>
      <c r="J52" s="97"/>
      <c r="K52" s="53"/>
    </row>
    <row r="53" spans="2:11" ht="12.75" hidden="1">
      <c r="B53" s="32"/>
      <c r="C53" s="1"/>
      <c r="D53" s="1"/>
      <c r="E53" s="1"/>
      <c r="F53" s="56"/>
      <c r="G53" s="56"/>
      <c r="H53" s="14"/>
      <c r="I53" s="56"/>
      <c r="J53" s="97"/>
      <c r="K53" s="53"/>
    </row>
    <row r="54" spans="2:11" ht="12.75" hidden="1">
      <c r="B54" s="32"/>
      <c r="C54" s="1"/>
      <c r="D54" s="1"/>
      <c r="E54" s="1"/>
      <c r="F54" s="56"/>
      <c r="G54" s="56"/>
      <c r="H54" s="1"/>
      <c r="I54" s="56"/>
      <c r="J54" s="97"/>
      <c r="K54" s="53"/>
    </row>
    <row r="55" spans="2:11" ht="12.75" hidden="1">
      <c r="B55" s="32"/>
      <c r="C55" s="1"/>
      <c r="D55" s="1"/>
      <c r="E55" s="1"/>
      <c r="F55" s="56"/>
      <c r="G55" s="56"/>
      <c r="H55" s="1"/>
      <c r="I55" s="56"/>
      <c r="J55" s="97"/>
      <c r="K55" s="53"/>
    </row>
    <row r="56" spans="2:11" ht="12.75" hidden="1">
      <c r="B56" s="32"/>
      <c r="C56" s="1"/>
      <c r="D56" s="1"/>
      <c r="E56" s="1"/>
      <c r="F56" s="56"/>
      <c r="G56" s="56"/>
      <c r="H56" s="1"/>
      <c r="I56" s="56"/>
      <c r="J56" s="97"/>
      <c r="K56" s="53"/>
    </row>
    <row r="57" spans="2:11" ht="12.75" hidden="1">
      <c r="B57" s="32"/>
      <c r="C57" s="1"/>
      <c r="D57" s="1"/>
      <c r="E57" s="1"/>
      <c r="F57" s="56"/>
      <c r="G57" s="56"/>
      <c r="H57" s="1"/>
      <c r="I57" s="56"/>
      <c r="J57" s="97"/>
      <c r="K57" s="53"/>
    </row>
    <row r="58" spans="2:11" ht="9.75" customHeight="1">
      <c r="B58" s="32"/>
      <c r="C58" s="1"/>
      <c r="D58" s="1"/>
      <c r="E58" s="1"/>
      <c r="F58" s="61"/>
      <c r="G58" s="61"/>
      <c r="H58" s="14"/>
      <c r="I58" s="56"/>
      <c r="J58" s="97"/>
      <c r="K58" s="53"/>
    </row>
    <row r="59" spans="2:11" ht="12.75">
      <c r="B59" s="32"/>
      <c r="C59" s="190"/>
      <c r="D59" s="190"/>
      <c r="E59" s="14"/>
      <c r="F59" s="63"/>
      <c r="G59" s="63"/>
      <c r="H59" s="24"/>
      <c r="I59" s="62"/>
      <c r="J59" s="102"/>
      <c r="K59" s="53"/>
    </row>
    <row r="60" spans="2:11" ht="12.75">
      <c r="B60" s="32"/>
      <c r="C60" s="15" t="s">
        <v>12</v>
      </c>
      <c r="D60" s="1"/>
      <c r="E60" s="14"/>
      <c r="F60" s="63"/>
      <c r="G60" s="63"/>
      <c r="H60" s="24"/>
      <c r="I60" s="62"/>
      <c r="J60" s="97"/>
      <c r="K60" s="53"/>
    </row>
    <row r="61" spans="2:11" ht="12.75">
      <c r="B61" s="32"/>
      <c r="C61" s="115" t="s">
        <v>359</v>
      </c>
      <c r="D61" s="1"/>
      <c r="E61" s="14"/>
      <c r="F61" s="56"/>
      <c r="G61" s="56"/>
      <c r="H61" s="24"/>
      <c r="I61" s="22"/>
      <c r="J61" s="102"/>
      <c r="K61" s="53"/>
    </row>
    <row r="62" spans="2:11" ht="12.75">
      <c r="B62" s="32"/>
      <c r="C62" s="115" t="s">
        <v>360</v>
      </c>
      <c r="D62" s="1"/>
      <c r="E62" s="14"/>
      <c r="F62" s="56"/>
      <c r="G62" s="56"/>
      <c r="H62" s="24"/>
      <c r="I62" s="22"/>
      <c r="J62" s="102"/>
      <c r="K62" s="53"/>
    </row>
    <row r="63" spans="2:11" ht="12.75">
      <c r="B63" s="32"/>
      <c r="C63" s="115" t="s">
        <v>361</v>
      </c>
      <c r="D63" s="1"/>
      <c r="E63" s="14"/>
      <c r="F63" s="56"/>
      <c r="G63" s="56"/>
      <c r="H63" s="24"/>
      <c r="I63" s="22"/>
      <c r="J63" s="102"/>
      <c r="K63" s="53"/>
    </row>
    <row r="64" spans="2:11" ht="12.75">
      <c r="B64" s="32"/>
      <c r="C64" s="42"/>
      <c r="D64" s="1"/>
      <c r="E64" s="14"/>
      <c r="F64" s="56"/>
      <c r="G64" s="56"/>
      <c r="H64" s="24"/>
      <c r="I64" s="22"/>
      <c r="J64" s="102"/>
      <c r="K64" s="53"/>
    </row>
    <row r="65" spans="2:11" ht="12.75">
      <c r="B65" s="52"/>
      <c r="C65" s="49" t="s">
        <v>15</v>
      </c>
      <c r="D65" s="24"/>
      <c r="E65" s="24"/>
      <c r="F65" s="24"/>
      <c r="G65" s="24"/>
      <c r="H65" s="24"/>
      <c r="I65" s="24"/>
      <c r="J65" s="103"/>
      <c r="K65" s="53"/>
    </row>
    <row r="66" spans="2:11" ht="6" customHeight="1">
      <c r="B66" s="52"/>
      <c r="C66" s="24"/>
      <c r="D66" s="24"/>
      <c r="E66" s="24"/>
      <c r="F66" s="24"/>
      <c r="G66" s="24"/>
      <c r="H66" s="24"/>
      <c r="I66" s="24"/>
      <c r="J66" s="103"/>
      <c r="K66" s="53"/>
    </row>
    <row r="67" spans="2:11" ht="12.75">
      <c r="B67" s="52"/>
      <c r="C67" s="49" t="s">
        <v>6</v>
      </c>
      <c r="D67" s="89"/>
      <c r="E67" s="89"/>
      <c r="F67" s="89"/>
      <c r="G67" s="89"/>
      <c r="H67" s="24"/>
      <c r="I67" s="24"/>
      <c r="J67" s="103"/>
      <c r="K67" s="53"/>
    </row>
    <row r="68" spans="2:11" ht="12.75">
      <c r="B68" s="52"/>
      <c r="C68" s="49" t="s">
        <v>34</v>
      </c>
      <c r="D68" s="89"/>
      <c r="E68" s="89"/>
      <c r="F68" s="89"/>
      <c r="G68" s="89"/>
      <c r="H68" s="122"/>
      <c r="I68" s="24"/>
      <c r="J68" s="103"/>
      <c r="K68" s="53"/>
    </row>
    <row r="69" spans="2:11" ht="12.75">
      <c r="B69" s="52"/>
      <c r="C69" s="49" t="s">
        <v>4</v>
      </c>
      <c r="D69" s="89"/>
      <c r="E69" s="89"/>
      <c r="F69" s="89"/>
      <c r="G69" s="89"/>
      <c r="H69" s="123"/>
      <c r="I69" s="24"/>
      <c r="J69" s="103"/>
      <c r="K69" s="53"/>
    </row>
    <row r="70" spans="2:11" ht="25.5" customHeight="1">
      <c r="B70" s="52"/>
      <c r="C70" s="232" t="s">
        <v>32</v>
      </c>
      <c r="D70" s="232"/>
      <c r="E70" s="232"/>
      <c r="F70" s="232"/>
      <c r="G70" s="232"/>
      <c r="H70" s="232"/>
      <c r="I70" s="232"/>
      <c r="J70" s="232"/>
      <c r="K70" s="53"/>
    </row>
    <row r="71" spans="2:11" ht="35.25" customHeight="1">
      <c r="B71" s="52"/>
      <c r="C71" s="233" t="s">
        <v>33</v>
      </c>
      <c r="D71" s="233"/>
      <c r="E71" s="233"/>
      <c r="F71" s="233"/>
      <c r="G71" s="233"/>
      <c r="H71" s="233"/>
      <c r="I71" s="233"/>
      <c r="J71" s="233"/>
      <c r="K71" s="53"/>
    </row>
    <row r="72" spans="2:11" ht="12.75">
      <c r="B72" s="52"/>
      <c r="C72" s="49" t="s">
        <v>11</v>
      </c>
      <c r="D72" s="51"/>
      <c r="E72" s="51"/>
      <c r="F72" s="51"/>
      <c r="G72" s="51"/>
      <c r="H72" s="14"/>
      <c r="I72" s="24"/>
      <c r="J72" s="103"/>
      <c r="K72" s="53"/>
    </row>
    <row r="73" spans="2:11" ht="12.75">
      <c r="B73" s="32"/>
      <c r="C73" s="14"/>
      <c r="D73" s="14"/>
      <c r="E73" s="14"/>
      <c r="F73" s="62"/>
      <c r="G73" s="62"/>
      <c r="H73" s="14"/>
      <c r="I73" s="24"/>
      <c r="J73" s="103"/>
      <c r="K73" s="53"/>
    </row>
    <row r="74" spans="2:11" ht="12.75">
      <c r="B74" s="32"/>
      <c r="C74" s="49" t="s">
        <v>8</v>
      </c>
      <c r="D74" s="51"/>
      <c r="E74" s="51"/>
      <c r="F74" s="51"/>
      <c r="G74" s="51"/>
      <c r="H74" s="14"/>
      <c r="I74" s="24"/>
      <c r="J74" s="103"/>
      <c r="K74" s="34"/>
    </row>
    <row r="75" spans="2:11" ht="13.5" customHeight="1">
      <c r="B75" s="32"/>
      <c r="C75" s="49" t="s">
        <v>20</v>
      </c>
      <c r="D75" s="90"/>
      <c r="E75" s="90"/>
      <c r="F75" s="90"/>
      <c r="G75" s="90"/>
      <c r="H75" s="14"/>
      <c r="I75" s="24"/>
      <c r="J75" s="103"/>
      <c r="K75" s="34"/>
    </row>
    <row r="76" spans="2:11" ht="13.5" customHeight="1">
      <c r="B76" s="32"/>
      <c r="C76" s="134" t="s">
        <v>43</v>
      </c>
      <c r="D76" s="49"/>
      <c r="E76" s="49"/>
      <c r="F76" s="49"/>
      <c r="G76" s="49"/>
      <c r="H76" s="14"/>
      <c r="I76" s="24"/>
      <c r="J76" s="103"/>
      <c r="K76" s="34"/>
    </row>
    <row r="77" spans="2:11" ht="13.5" customHeight="1">
      <c r="B77" s="32"/>
      <c r="C77" s="49" t="s">
        <v>41</v>
      </c>
      <c r="D77" s="16"/>
      <c r="E77" s="16"/>
      <c r="F77" s="16"/>
      <c r="G77" s="16"/>
      <c r="H77" s="14"/>
      <c r="I77" s="1"/>
      <c r="J77" s="104"/>
      <c r="K77" s="34"/>
    </row>
    <row r="78" spans="2:11" ht="8.25" customHeight="1" thickBot="1">
      <c r="B78" s="35"/>
      <c r="C78" s="21"/>
      <c r="D78" s="65"/>
      <c r="E78" s="65"/>
      <c r="F78" s="65"/>
      <c r="G78" s="65"/>
      <c r="H78" s="129"/>
      <c r="I78" s="21"/>
      <c r="J78" s="105"/>
      <c r="K78" s="66"/>
    </row>
    <row r="116" spans="2:10" ht="12.75">
      <c r="B116" s="32"/>
      <c r="D116" s="17"/>
      <c r="E116" s="17"/>
      <c r="F116" s="17"/>
      <c r="G116" s="17"/>
      <c r="I116" s="1"/>
      <c r="J116" s="106"/>
    </row>
    <row r="117" spans="2:10" ht="12.75">
      <c r="B117" s="32"/>
      <c r="D117" s="23"/>
      <c r="E117" s="23"/>
      <c r="F117" s="23"/>
      <c r="G117" s="23"/>
      <c r="I117" s="1"/>
      <c r="J117" s="106"/>
    </row>
    <row r="118" spans="2:10" ht="12.75">
      <c r="B118" s="32"/>
      <c r="D118" s="23"/>
      <c r="E118" s="23"/>
      <c r="F118" s="23"/>
      <c r="G118" s="23"/>
      <c r="I118" s="1"/>
      <c r="J118" s="106"/>
    </row>
    <row r="119" spans="2:10" ht="12.75">
      <c r="B119" s="32"/>
      <c r="D119" s="2"/>
      <c r="E119" s="2"/>
      <c r="F119" s="2"/>
      <c r="G119" s="2"/>
      <c r="I119" s="1"/>
      <c r="J119" s="106"/>
    </row>
  </sheetData>
  <sheetProtection/>
  <mergeCells count="13">
    <mergeCell ref="E12:E13"/>
    <mergeCell ref="F12:F13"/>
    <mergeCell ref="G12:G13"/>
    <mergeCell ref="I12:J12"/>
    <mergeCell ref="C70:J70"/>
    <mergeCell ref="C71:J71"/>
    <mergeCell ref="C4:J4"/>
    <mergeCell ref="C5:J5"/>
    <mergeCell ref="C6:J6"/>
    <mergeCell ref="C11:E11"/>
    <mergeCell ref="F11:J11"/>
    <mergeCell ref="C12:C13"/>
    <mergeCell ref="D12:D13"/>
  </mergeCells>
  <dataValidations count="6">
    <dataValidation type="whole" allowBlank="1" showInputMessage="1" showErrorMessage="1" errorTitle="Error en código de sustento" error="Verifique los códigos válidos en la tabla CÓDIGO DE SUSTENTO&#10;&#10;" sqref="I29:I70 I72:I65536 I14 I20 I27 I1:I11">
      <formula1>1</formula1>
      <formula2>4</formula2>
    </dataValidation>
    <dataValidation type="whole" allowBlank="1" showInputMessage="1" showErrorMessage="1" errorTitle="Error en código de sustento" error="Verificar el código del documento de sustento según la tabla CODIGO DE SUSTENTO" sqref="I21:I26 I15:I19 I28">
      <formula1>1</formula1>
      <formula2>4</formula2>
    </dataValidation>
    <dataValidation allowBlank="1" showInputMessage="1" showErrorMessage="1" errorTitle="Error en RUC" error="Verifique que la longitud del RUC sea de 11 dígitos" sqref="G15:G19 G21:G25 G28"/>
    <dataValidation type="whole" allowBlank="1" showInputMessage="1" showErrorMessage="1" sqref="H72:H65536 H14:H69 H10:H12 H1:H8">
      <formula1>1</formula1>
      <formula2>2</formula2>
    </dataValidation>
    <dataValidation type="decimal" operator="greaterThanOrEqual" allowBlank="1" showInputMessage="1" showErrorMessage="1" errorTitle="Error en el Importe" error="Ingresar valores numéricos y mayores de 0" sqref="E14:E48">
      <formula1>0</formula1>
    </dataValidation>
    <dataValidation allowBlank="1" showInputMessage="1" showErrorMessage="1" errorTitle="Error en código de sustento" error="Verifique los códigos válidos en la tabla CÓDIGO DE SUSTENTO&#10;&#10;" sqref="I12:J12 I13"/>
  </dataValidations>
  <printOptions/>
  <pageMargins left="0.31496062992125984" right="0.31496062992125984" top="0.1968503937007874" bottom="0.17" header="0.31496062992125984" footer="0.17"/>
  <pageSetup horizontalDpi="120" verticalDpi="120" orientation="landscape" paperSize="9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117"/>
  <sheetViews>
    <sheetView zoomScale="75" zoomScaleNormal="75" zoomScalePageLayoutView="0" workbookViewId="0" topLeftCell="A1">
      <selection activeCell="C57" sqref="C57:D57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41.140625" style="0" customWidth="1"/>
    <col min="5" max="5" width="14.8515625" style="0" customWidth="1"/>
    <col min="6" max="6" width="38.00390625" style="54" customWidth="1"/>
    <col min="7" max="7" width="19.140625" style="54" customWidth="1"/>
    <col min="8" max="8" width="17.8515625" style="0" customWidth="1"/>
    <col min="9" max="9" width="13.00390625" style="54" customWidth="1"/>
    <col min="10" max="10" width="20.421875" style="95" customWidth="1"/>
    <col min="11" max="11" width="3.00390625" style="0" customWidth="1"/>
  </cols>
  <sheetData>
    <row r="1" ht="13.5" thickBot="1"/>
    <row r="2" spans="2:11" ht="15.75">
      <c r="B2" s="45"/>
      <c r="C2" s="125" t="s">
        <v>42</v>
      </c>
      <c r="D2" s="126"/>
      <c r="E2" s="28"/>
      <c r="F2" s="55"/>
      <c r="G2" s="55"/>
      <c r="H2" s="28"/>
      <c r="I2" s="135" t="s">
        <v>46</v>
      </c>
      <c r="J2" s="135"/>
      <c r="K2" s="136"/>
    </row>
    <row r="3" spans="2:11" ht="9.75" customHeight="1">
      <c r="B3" s="130"/>
      <c r="C3" s="131"/>
      <c r="D3" s="132"/>
      <c r="E3" s="1"/>
      <c r="F3" s="56"/>
      <c r="G3" s="56"/>
      <c r="H3" s="1"/>
      <c r="I3" s="61"/>
      <c r="J3" s="61"/>
      <c r="K3" s="133"/>
    </row>
    <row r="4" spans="2:11" ht="21" customHeight="1">
      <c r="B4" s="32"/>
      <c r="C4" s="191" t="s">
        <v>17</v>
      </c>
      <c r="D4" s="192"/>
      <c r="E4" s="192"/>
      <c r="F4" s="192"/>
      <c r="G4" s="192"/>
      <c r="H4" s="192"/>
      <c r="I4" s="192"/>
      <c r="J4" s="193"/>
      <c r="K4" s="53"/>
    </row>
    <row r="5" spans="2:11" ht="9" customHeight="1">
      <c r="B5" s="32"/>
      <c r="C5" s="194"/>
      <c r="D5" s="194"/>
      <c r="E5" s="194"/>
      <c r="F5" s="194"/>
      <c r="G5" s="194"/>
      <c r="H5" s="194"/>
      <c r="I5" s="194"/>
      <c r="J5" s="194"/>
      <c r="K5" s="53"/>
    </row>
    <row r="6" spans="2:11" ht="10.5" customHeight="1">
      <c r="B6" s="32"/>
      <c r="C6" s="194" t="s">
        <v>368</v>
      </c>
      <c r="D6" s="194"/>
      <c r="E6" s="194"/>
      <c r="F6" s="194"/>
      <c r="G6" s="194"/>
      <c r="H6" s="194"/>
      <c r="I6" s="194"/>
      <c r="J6" s="194"/>
      <c r="K6" s="53"/>
    </row>
    <row r="7" spans="2:11" ht="12.75">
      <c r="B7" s="32"/>
      <c r="C7" s="26"/>
      <c r="D7" s="26"/>
      <c r="E7" s="26"/>
      <c r="F7" s="26"/>
      <c r="G7" s="26"/>
      <c r="H7" s="26"/>
      <c r="I7" s="26"/>
      <c r="J7" s="96"/>
      <c r="K7" s="53"/>
    </row>
    <row r="8" spans="2:11" ht="12.75">
      <c r="B8" s="32"/>
      <c r="C8" s="15" t="s">
        <v>157</v>
      </c>
      <c r="D8" s="26"/>
      <c r="E8" s="26"/>
      <c r="F8" s="62"/>
      <c r="G8" s="61" t="s">
        <v>158</v>
      </c>
      <c r="H8" s="62"/>
      <c r="I8" s="62"/>
      <c r="J8" s="62"/>
      <c r="K8" s="53"/>
    </row>
    <row r="9" spans="2:11" ht="12.75">
      <c r="B9" s="32"/>
      <c r="C9" s="15" t="s">
        <v>48</v>
      </c>
      <c r="D9" s="26"/>
      <c r="E9" s="26"/>
      <c r="F9" s="26"/>
      <c r="G9" s="50"/>
      <c r="H9" s="50"/>
      <c r="I9" s="13"/>
      <c r="J9" s="102"/>
      <c r="K9" s="53"/>
    </row>
    <row r="10" spans="2:11" ht="5.25" customHeight="1" thickBot="1">
      <c r="B10" s="32"/>
      <c r="C10" s="1"/>
      <c r="D10" s="1"/>
      <c r="E10" s="1"/>
      <c r="F10" s="56"/>
      <c r="G10" s="56"/>
      <c r="H10" s="56"/>
      <c r="I10" s="56"/>
      <c r="J10" s="97"/>
      <c r="K10" s="53"/>
    </row>
    <row r="11" spans="2:11" s="25" customFormat="1" ht="21.75" customHeight="1" thickBot="1">
      <c r="B11" s="46"/>
      <c r="C11" s="234" t="s">
        <v>6</v>
      </c>
      <c r="D11" s="235"/>
      <c r="E11" s="236"/>
      <c r="F11" s="234" t="s">
        <v>7</v>
      </c>
      <c r="G11" s="237"/>
      <c r="H11" s="237"/>
      <c r="I11" s="235"/>
      <c r="J11" s="236"/>
      <c r="K11" s="47"/>
    </row>
    <row r="12" spans="2:11" s="25" customFormat="1" ht="28.5" customHeight="1" thickBot="1">
      <c r="B12" s="46"/>
      <c r="C12" s="211" t="s">
        <v>1</v>
      </c>
      <c r="D12" s="208" t="s">
        <v>9</v>
      </c>
      <c r="E12" s="211" t="s">
        <v>38</v>
      </c>
      <c r="F12" s="239" t="s">
        <v>31</v>
      </c>
      <c r="G12" s="211" t="s">
        <v>13</v>
      </c>
      <c r="H12" s="124" t="s">
        <v>25</v>
      </c>
      <c r="I12" s="230" t="s">
        <v>35</v>
      </c>
      <c r="J12" s="231"/>
      <c r="K12" s="47"/>
    </row>
    <row r="13" spans="2:11" s="25" customFormat="1" ht="61.5" customHeight="1" thickBot="1">
      <c r="B13" s="46"/>
      <c r="C13" s="213"/>
      <c r="D13" s="238"/>
      <c r="E13" s="213"/>
      <c r="F13" s="240"/>
      <c r="G13" s="241"/>
      <c r="H13" s="151" t="s">
        <v>36</v>
      </c>
      <c r="I13" s="94" t="s">
        <v>37</v>
      </c>
      <c r="J13" s="152" t="s">
        <v>30</v>
      </c>
      <c r="K13" s="47"/>
    </row>
    <row r="14" spans="2:11" s="38" customFormat="1" ht="13.5" customHeight="1">
      <c r="B14" s="39"/>
      <c r="C14" s="73">
        <v>40629</v>
      </c>
      <c r="D14" s="85" t="s">
        <v>181</v>
      </c>
      <c r="E14" s="74">
        <f>25/1.18</f>
        <v>21.186440677966104</v>
      </c>
      <c r="F14" s="162" t="s">
        <v>221</v>
      </c>
      <c r="G14" s="162" t="s">
        <v>195</v>
      </c>
      <c r="H14" s="127">
        <v>2</v>
      </c>
      <c r="I14" s="128">
        <v>1</v>
      </c>
      <c r="J14" s="141" t="s">
        <v>222</v>
      </c>
      <c r="K14" s="64"/>
    </row>
    <row r="15" spans="2:11" s="38" customFormat="1" ht="13.5" customHeight="1">
      <c r="B15" s="39"/>
      <c r="C15" s="153">
        <v>40629</v>
      </c>
      <c r="D15" s="154" t="s">
        <v>181</v>
      </c>
      <c r="E15" s="155">
        <f>5/1.18</f>
        <v>4.237288135593221</v>
      </c>
      <c r="F15" s="41" t="s">
        <v>194</v>
      </c>
      <c r="G15" s="156" t="s">
        <v>195</v>
      </c>
      <c r="H15" s="157">
        <v>1</v>
      </c>
      <c r="I15" s="158">
        <v>1</v>
      </c>
      <c r="J15" s="159" t="s">
        <v>238</v>
      </c>
      <c r="K15" s="64"/>
    </row>
    <row r="16" spans="2:11" s="38" customFormat="1" ht="12.75" customHeight="1">
      <c r="B16" s="39"/>
      <c r="C16" s="80">
        <v>40629</v>
      </c>
      <c r="D16" s="85" t="s">
        <v>181</v>
      </c>
      <c r="E16" s="87">
        <f>10.9/1.18</f>
        <v>9.237288135593221</v>
      </c>
      <c r="F16" s="5" t="s">
        <v>221</v>
      </c>
      <c r="G16" s="83" t="s">
        <v>195</v>
      </c>
      <c r="H16" s="142">
        <v>2</v>
      </c>
      <c r="I16" s="138">
        <v>1</v>
      </c>
      <c r="J16" s="141" t="s">
        <v>225</v>
      </c>
      <c r="K16" s="64"/>
    </row>
    <row r="17" spans="2:11" s="38" customFormat="1" ht="25.5">
      <c r="B17" s="39"/>
      <c r="C17" s="80">
        <v>40629</v>
      </c>
      <c r="D17" s="185" t="s">
        <v>93</v>
      </c>
      <c r="E17" s="87">
        <v>105</v>
      </c>
      <c r="F17" s="162" t="s">
        <v>90</v>
      </c>
      <c r="G17" s="83" t="s">
        <v>91</v>
      </c>
      <c r="H17" s="142">
        <v>1</v>
      </c>
      <c r="I17" s="138">
        <v>4</v>
      </c>
      <c r="J17" s="141" t="s">
        <v>92</v>
      </c>
      <c r="K17" s="64"/>
    </row>
    <row r="18" spans="2:12" s="38" customFormat="1" ht="15.75" customHeight="1">
      <c r="B18" s="39"/>
      <c r="C18" s="80">
        <v>40629</v>
      </c>
      <c r="D18" s="85" t="s">
        <v>320</v>
      </c>
      <c r="E18" s="87">
        <f>10/1.18</f>
        <v>8.474576271186441</v>
      </c>
      <c r="F18" s="5" t="s">
        <v>336</v>
      </c>
      <c r="G18" s="83" t="s">
        <v>337</v>
      </c>
      <c r="H18" s="142">
        <v>2</v>
      </c>
      <c r="I18" s="138">
        <v>1</v>
      </c>
      <c r="J18" s="141" t="s">
        <v>338</v>
      </c>
      <c r="K18" s="64"/>
      <c r="L18" s="175">
        <f>+SUMIF(H14:H28,1,E14:E28)</f>
        <v>109.23728813559322</v>
      </c>
    </row>
    <row r="19" spans="2:12" s="38" customFormat="1" ht="12.75" customHeight="1">
      <c r="B19" s="39"/>
      <c r="C19" s="80">
        <v>40629</v>
      </c>
      <c r="D19" s="85" t="s">
        <v>181</v>
      </c>
      <c r="E19" s="87">
        <f>50.03/1.18</f>
        <v>42.398305084745765</v>
      </c>
      <c r="F19" s="5" t="s">
        <v>212</v>
      </c>
      <c r="G19" s="83" t="s">
        <v>200</v>
      </c>
      <c r="H19" s="142">
        <v>2</v>
      </c>
      <c r="I19" s="138">
        <v>1</v>
      </c>
      <c r="J19" s="141" t="s">
        <v>224</v>
      </c>
      <c r="K19" s="64"/>
      <c r="L19" s="175">
        <f>+SUMIF(H14:H28,2,E14:E28)</f>
        <v>705.2986440677967</v>
      </c>
    </row>
    <row r="20" spans="2:11" s="38" customFormat="1" ht="13.5" customHeight="1">
      <c r="B20" s="39"/>
      <c r="C20" s="143">
        <v>40629</v>
      </c>
      <c r="D20" s="150" t="s">
        <v>181</v>
      </c>
      <c r="E20" s="149">
        <f>10.53/1.18</f>
        <v>8.923728813559322</v>
      </c>
      <c r="F20" s="145" t="s">
        <v>194</v>
      </c>
      <c r="G20" s="146" t="s">
        <v>195</v>
      </c>
      <c r="H20" s="148">
        <v>2</v>
      </c>
      <c r="I20" s="144">
        <v>1</v>
      </c>
      <c r="J20" s="147" t="s">
        <v>223</v>
      </c>
      <c r="K20" s="64"/>
    </row>
    <row r="21" spans="2:11" s="38" customFormat="1" ht="12.75">
      <c r="B21" s="39"/>
      <c r="C21" s="80">
        <v>40630</v>
      </c>
      <c r="D21" s="85" t="s">
        <v>240</v>
      </c>
      <c r="E21" s="87">
        <f>8.9/1.18</f>
        <v>7.5423728813559325</v>
      </c>
      <c r="F21" s="5" t="s">
        <v>239</v>
      </c>
      <c r="G21" s="83" t="s">
        <v>241</v>
      </c>
      <c r="H21" s="142">
        <v>2</v>
      </c>
      <c r="I21" s="138">
        <v>1</v>
      </c>
      <c r="J21" s="141" t="s">
        <v>251</v>
      </c>
      <c r="K21" s="64"/>
    </row>
    <row r="22" spans="2:11" s="38" customFormat="1" ht="12.75">
      <c r="B22" s="39"/>
      <c r="C22" s="171">
        <v>40630</v>
      </c>
      <c r="D22" s="168" t="s">
        <v>267</v>
      </c>
      <c r="E22" s="155">
        <f>41.5/1.18</f>
        <v>35.16949152542373</v>
      </c>
      <c r="F22" s="41" t="s">
        <v>279</v>
      </c>
      <c r="G22" s="164" t="s">
        <v>280</v>
      </c>
      <c r="H22" s="166">
        <v>2</v>
      </c>
      <c r="I22" s="158">
        <v>1</v>
      </c>
      <c r="J22" s="159" t="s">
        <v>281</v>
      </c>
      <c r="K22" s="64"/>
    </row>
    <row r="23" spans="2:11" s="38" customFormat="1" ht="12.75" customHeight="1">
      <c r="B23" s="39"/>
      <c r="C23" s="80">
        <v>40631</v>
      </c>
      <c r="D23" s="85" t="s">
        <v>181</v>
      </c>
      <c r="E23" s="87">
        <f>50/1.18</f>
        <v>42.37288135593221</v>
      </c>
      <c r="F23" s="5" t="s">
        <v>226</v>
      </c>
      <c r="G23" s="83" t="s">
        <v>227</v>
      </c>
      <c r="H23" s="142">
        <v>2</v>
      </c>
      <c r="I23" s="138">
        <v>1</v>
      </c>
      <c r="J23" s="141" t="s">
        <v>228</v>
      </c>
      <c r="K23" s="64"/>
    </row>
    <row r="24" spans="2:11" s="38" customFormat="1" ht="12.75" customHeight="1">
      <c r="B24" s="39"/>
      <c r="C24" s="80">
        <v>40631</v>
      </c>
      <c r="D24" s="85" t="s">
        <v>181</v>
      </c>
      <c r="E24" s="87">
        <f>30/1.18</f>
        <v>25.423728813559322</v>
      </c>
      <c r="F24" s="5" t="s">
        <v>229</v>
      </c>
      <c r="G24" s="83" t="s">
        <v>230</v>
      </c>
      <c r="H24" s="142">
        <v>2</v>
      </c>
      <c r="I24" s="138">
        <v>1</v>
      </c>
      <c r="J24" s="141" t="s">
        <v>231</v>
      </c>
      <c r="K24" s="64"/>
    </row>
    <row r="25" spans="2:11" s="38" customFormat="1" ht="12.75" customHeight="1">
      <c r="B25" s="39"/>
      <c r="C25" s="80">
        <v>40631</v>
      </c>
      <c r="D25" s="85" t="s">
        <v>159</v>
      </c>
      <c r="E25" s="87">
        <f>240/1.18</f>
        <v>203.38983050847457</v>
      </c>
      <c r="F25" s="5" t="s">
        <v>160</v>
      </c>
      <c r="G25" s="83" t="s">
        <v>161</v>
      </c>
      <c r="H25" s="142">
        <v>2</v>
      </c>
      <c r="I25" s="138">
        <v>1</v>
      </c>
      <c r="J25" s="141" t="s">
        <v>162</v>
      </c>
      <c r="K25" s="64"/>
    </row>
    <row r="26" spans="2:11" s="38" customFormat="1" ht="12.75" customHeight="1" thickBot="1">
      <c r="B26" s="39"/>
      <c r="C26" s="80">
        <v>40631</v>
      </c>
      <c r="D26" s="85" t="s">
        <v>267</v>
      </c>
      <c r="E26" s="87">
        <f>301.18</f>
        <v>301.18</v>
      </c>
      <c r="F26" s="160" t="s">
        <v>276</v>
      </c>
      <c r="G26" s="83" t="s">
        <v>277</v>
      </c>
      <c r="H26" s="142">
        <v>2</v>
      </c>
      <c r="I26" s="138">
        <v>1</v>
      </c>
      <c r="J26" s="141" t="s">
        <v>278</v>
      </c>
      <c r="K26" s="64"/>
    </row>
    <row r="27" spans="2:11" ht="13.5" hidden="1" thickBot="1">
      <c r="B27" s="32"/>
      <c r="C27" s="3"/>
      <c r="D27" s="48"/>
      <c r="E27" s="44"/>
      <c r="F27" s="57"/>
      <c r="G27" s="57"/>
      <c r="H27" s="43"/>
      <c r="I27" s="58"/>
      <c r="J27" s="98"/>
      <c r="K27" s="53"/>
    </row>
    <row r="28" spans="2:11" ht="13.5" hidden="1" thickBot="1">
      <c r="B28" s="32"/>
      <c r="C28" s="20"/>
      <c r="D28" s="19"/>
      <c r="E28" s="7"/>
      <c r="F28" s="59"/>
      <c r="G28" s="59"/>
      <c r="H28" s="6"/>
      <c r="I28" s="60"/>
      <c r="J28" s="99"/>
      <c r="K28" s="53"/>
    </row>
    <row r="29" spans="2:11" ht="13.5" hidden="1" thickBot="1">
      <c r="B29" s="32"/>
      <c r="C29" s="20"/>
      <c r="D29" s="19"/>
      <c r="E29" s="7"/>
      <c r="F29" s="59"/>
      <c r="G29" s="59"/>
      <c r="H29" s="6"/>
      <c r="I29" s="60"/>
      <c r="J29" s="99"/>
      <c r="K29" s="53"/>
    </row>
    <row r="30" spans="2:11" ht="13.5" hidden="1" thickBot="1">
      <c r="B30" s="32"/>
      <c r="C30" s="20"/>
      <c r="D30" s="19"/>
      <c r="E30" s="7"/>
      <c r="F30" s="59"/>
      <c r="G30" s="59"/>
      <c r="H30" s="6"/>
      <c r="I30" s="60"/>
      <c r="J30" s="99"/>
      <c r="K30" s="53"/>
    </row>
    <row r="31" spans="2:11" ht="13.5" hidden="1" thickBot="1">
      <c r="B31" s="32"/>
      <c r="C31" s="20"/>
      <c r="D31" s="19"/>
      <c r="E31" s="7"/>
      <c r="F31" s="59"/>
      <c r="G31" s="59"/>
      <c r="H31" s="6"/>
      <c r="I31" s="60"/>
      <c r="J31" s="99"/>
      <c r="K31" s="53"/>
    </row>
    <row r="32" spans="2:11" ht="13.5" hidden="1" thickBot="1">
      <c r="B32" s="32"/>
      <c r="C32" s="20"/>
      <c r="D32" s="19"/>
      <c r="E32" s="7"/>
      <c r="F32" s="59"/>
      <c r="G32" s="59"/>
      <c r="H32" s="6"/>
      <c r="I32" s="60"/>
      <c r="J32" s="99"/>
      <c r="K32" s="53"/>
    </row>
    <row r="33" spans="2:11" ht="13.5" hidden="1" thickBot="1">
      <c r="B33" s="32"/>
      <c r="C33" s="20"/>
      <c r="D33" s="19"/>
      <c r="E33" s="7"/>
      <c r="F33" s="59"/>
      <c r="G33" s="59"/>
      <c r="H33" s="6"/>
      <c r="I33" s="60"/>
      <c r="J33" s="99"/>
      <c r="K33" s="53"/>
    </row>
    <row r="34" spans="2:11" ht="13.5" hidden="1" thickBot="1">
      <c r="B34" s="32"/>
      <c r="C34" s="20"/>
      <c r="D34" s="19"/>
      <c r="E34" s="7"/>
      <c r="F34" s="59"/>
      <c r="G34" s="59"/>
      <c r="H34" s="6"/>
      <c r="I34" s="60"/>
      <c r="J34" s="99"/>
      <c r="K34" s="53"/>
    </row>
    <row r="35" spans="2:11" ht="13.5" hidden="1" thickBot="1">
      <c r="B35" s="32"/>
      <c r="C35" s="20"/>
      <c r="D35" s="19"/>
      <c r="E35" s="7"/>
      <c r="F35" s="59"/>
      <c r="G35" s="59"/>
      <c r="H35" s="6"/>
      <c r="I35" s="60"/>
      <c r="J35" s="99"/>
      <c r="K35" s="53"/>
    </row>
    <row r="36" spans="2:11" ht="13.5" hidden="1" thickBot="1">
      <c r="B36" s="32"/>
      <c r="C36" s="20"/>
      <c r="D36" s="19"/>
      <c r="E36" s="7"/>
      <c r="F36" s="59"/>
      <c r="G36" s="59"/>
      <c r="H36" s="6"/>
      <c r="I36" s="60"/>
      <c r="J36" s="99"/>
      <c r="K36" s="53"/>
    </row>
    <row r="37" spans="2:11" ht="13.5" hidden="1" thickBot="1">
      <c r="B37" s="32"/>
      <c r="C37" s="20"/>
      <c r="D37" s="19"/>
      <c r="E37" s="7"/>
      <c r="F37" s="59"/>
      <c r="G37" s="59"/>
      <c r="H37" s="6"/>
      <c r="I37" s="60"/>
      <c r="J37" s="99"/>
      <c r="K37" s="53"/>
    </row>
    <row r="38" spans="2:11" ht="13.5" hidden="1" thickBot="1">
      <c r="B38" s="32"/>
      <c r="C38" s="20"/>
      <c r="D38" s="19"/>
      <c r="E38" s="7"/>
      <c r="F38" s="59"/>
      <c r="G38" s="59"/>
      <c r="H38" s="6"/>
      <c r="I38" s="60"/>
      <c r="J38" s="99"/>
      <c r="K38" s="53"/>
    </row>
    <row r="39" spans="2:11" ht="13.5" hidden="1" thickBot="1">
      <c r="B39" s="32"/>
      <c r="C39" s="20"/>
      <c r="D39" s="19"/>
      <c r="E39" s="7"/>
      <c r="F39" s="59"/>
      <c r="G39" s="59"/>
      <c r="H39" s="6"/>
      <c r="I39" s="60"/>
      <c r="J39" s="99"/>
      <c r="K39" s="53"/>
    </row>
    <row r="40" spans="2:11" ht="13.5" hidden="1" thickBot="1">
      <c r="B40" s="32"/>
      <c r="C40" s="20"/>
      <c r="D40" s="19"/>
      <c r="E40" s="7"/>
      <c r="F40" s="59"/>
      <c r="G40" s="59"/>
      <c r="H40" s="91"/>
      <c r="I40" s="60"/>
      <c r="J40" s="99"/>
      <c r="K40" s="53"/>
    </row>
    <row r="41" spans="2:11" ht="13.5" hidden="1" thickBot="1">
      <c r="B41" s="32"/>
      <c r="C41" s="20"/>
      <c r="D41" s="19"/>
      <c r="E41" s="7"/>
      <c r="F41" s="59"/>
      <c r="G41" s="59"/>
      <c r="H41" s="1"/>
      <c r="I41" s="60"/>
      <c r="J41" s="99"/>
      <c r="K41" s="53"/>
    </row>
    <row r="42" spans="2:11" ht="13.5" hidden="1" thickBot="1">
      <c r="B42" s="32"/>
      <c r="C42" s="20"/>
      <c r="D42" s="19"/>
      <c r="E42" s="7"/>
      <c r="F42" s="59"/>
      <c r="G42" s="59"/>
      <c r="H42" s="1"/>
      <c r="I42" s="60"/>
      <c r="J42" s="99"/>
      <c r="K42" s="53"/>
    </row>
    <row r="43" spans="2:11" ht="13.5" hidden="1" thickBot="1">
      <c r="B43" s="32"/>
      <c r="C43" s="20"/>
      <c r="D43" s="19"/>
      <c r="E43" s="7"/>
      <c r="F43" s="59"/>
      <c r="G43" s="59"/>
      <c r="H43" s="1"/>
      <c r="I43" s="60"/>
      <c r="J43" s="99"/>
      <c r="K43" s="53"/>
    </row>
    <row r="44" spans="2:11" ht="13.5" hidden="1" thickBot="1">
      <c r="B44" s="32"/>
      <c r="C44" s="20"/>
      <c r="D44" s="19"/>
      <c r="E44" s="7"/>
      <c r="F44" s="59"/>
      <c r="G44" s="59"/>
      <c r="H44" s="1"/>
      <c r="I44" s="60"/>
      <c r="J44" s="99"/>
      <c r="K44" s="53"/>
    </row>
    <row r="45" spans="2:11" ht="13.5" hidden="1" thickBot="1">
      <c r="B45" s="32"/>
      <c r="C45" s="20"/>
      <c r="D45" s="19"/>
      <c r="E45" s="7"/>
      <c r="F45" s="59"/>
      <c r="G45" s="59"/>
      <c r="H45" s="1"/>
      <c r="I45" s="60"/>
      <c r="J45" s="99"/>
      <c r="K45" s="53"/>
    </row>
    <row r="46" spans="2:11" ht="13.5" hidden="1" thickBot="1">
      <c r="B46" s="32"/>
      <c r="C46" s="67"/>
      <c r="D46" s="68"/>
      <c r="E46" s="75"/>
      <c r="F46" s="69"/>
      <c r="G46" s="69"/>
      <c r="H46" s="1"/>
      <c r="I46" s="70"/>
      <c r="J46" s="100"/>
      <c r="K46" s="53"/>
    </row>
    <row r="47" spans="2:11" ht="13.5" thickBot="1">
      <c r="B47" s="32"/>
      <c r="C47" s="71"/>
      <c r="D47" s="88"/>
      <c r="E47" s="76">
        <f>SUM(E14:E46)</f>
        <v>814.5359322033898</v>
      </c>
      <c r="F47" s="71"/>
      <c r="G47" s="72"/>
      <c r="H47" s="72"/>
      <c r="I47" s="72"/>
      <c r="J47" s="101"/>
      <c r="K47" s="53"/>
    </row>
    <row r="48" spans="2:11" ht="12.75">
      <c r="B48" s="32"/>
      <c r="C48" s="18" t="s">
        <v>19</v>
      </c>
      <c r="D48" s="13"/>
      <c r="E48" s="13"/>
      <c r="F48" s="56"/>
      <c r="G48" s="56"/>
      <c r="H48" s="1"/>
      <c r="I48" s="56"/>
      <c r="J48" s="97"/>
      <c r="K48" s="53"/>
    </row>
    <row r="49" spans="2:11" ht="12.75">
      <c r="B49" s="32"/>
      <c r="C49" s="24"/>
      <c r="D49" s="1"/>
      <c r="E49" s="1"/>
      <c r="F49" s="56"/>
      <c r="G49" s="56"/>
      <c r="H49" s="1"/>
      <c r="I49" s="56"/>
      <c r="J49" s="97"/>
      <c r="K49" s="53"/>
    </row>
    <row r="50" spans="2:11" ht="9.75" customHeight="1">
      <c r="B50" s="32"/>
      <c r="C50" s="1"/>
      <c r="D50" s="1"/>
      <c r="E50" s="1"/>
      <c r="F50" s="56"/>
      <c r="G50" s="56"/>
      <c r="H50" s="1"/>
      <c r="I50" s="56"/>
      <c r="J50" s="97"/>
      <c r="K50" s="53"/>
    </row>
    <row r="51" spans="2:11" ht="12.75" hidden="1">
      <c r="B51" s="32"/>
      <c r="C51" s="1"/>
      <c r="D51" s="1"/>
      <c r="E51" s="1"/>
      <c r="F51" s="56"/>
      <c r="G51" s="56"/>
      <c r="H51" s="14"/>
      <c r="I51" s="56"/>
      <c r="J51" s="97"/>
      <c r="K51" s="53"/>
    </row>
    <row r="52" spans="2:11" ht="12.75" hidden="1">
      <c r="B52" s="32"/>
      <c r="C52" s="1"/>
      <c r="D52" s="1"/>
      <c r="E52" s="1"/>
      <c r="F52" s="56"/>
      <c r="G52" s="56"/>
      <c r="H52" s="1"/>
      <c r="I52" s="56"/>
      <c r="J52" s="97"/>
      <c r="K52" s="53"/>
    </row>
    <row r="53" spans="2:11" ht="12.75" hidden="1">
      <c r="B53" s="32"/>
      <c r="C53" s="1"/>
      <c r="D53" s="1"/>
      <c r="E53" s="1"/>
      <c r="F53" s="56"/>
      <c r="G53" s="56"/>
      <c r="H53" s="1"/>
      <c r="I53" s="56"/>
      <c r="J53" s="97"/>
      <c r="K53" s="53"/>
    </row>
    <row r="54" spans="2:11" ht="12.75" hidden="1">
      <c r="B54" s="32"/>
      <c r="C54" s="1"/>
      <c r="D54" s="1"/>
      <c r="E54" s="1"/>
      <c r="F54" s="56"/>
      <c r="G54" s="56"/>
      <c r="H54" s="1"/>
      <c r="I54" s="56"/>
      <c r="J54" s="97"/>
      <c r="K54" s="53"/>
    </row>
    <row r="55" spans="2:11" ht="12.75" hidden="1">
      <c r="B55" s="32"/>
      <c r="C55" s="1"/>
      <c r="D55" s="1"/>
      <c r="E55" s="1"/>
      <c r="F55" s="56"/>
      <c r="G55" s="56"/>
      <c r="H55" s="1"/>
      <c r="I55" s="56"/>
      <c r="J55" s="97"/>
      <c r="K55" s="53"/>
    </row>
    <row r="56" spans="2:11" ht="12.75">
      <c r="B56" s="32"/>
      <c r="C56" s="1"/>
      <c r="D56" s="1"/>
      <c r="E56" s="1"/>
      <c r="F56" s="61"/>
      <c r="G56" s="61"/>
      <c r="H56" s="14"/>
      <c r="I56" s="56"/>
      <c r="J56" s="97"/>
      <c r="K56" s="53"/>
    </row>
    <row r="57" spans="2:11" ht="12.75">
      <c r="B57" s="32"/>
      <c r="C57" s="190"/>
      <c r="D57" s="190"/>
      <c r="E57" s="14"/>
      <c r="F57" s="63"/>
      <c r="G57" s="63"/>
      <c r="H57" s="24"/>
      <c r="I57" s="62"/>
      <c r="J57" s="102"/>
      <c r="K57" s="53"/>
    </row>
    <row r="58" spans="2:11" ht="12.75">
      <c r="B58" s="32"/>
      <c r="C58" s="15" t="s">
        <v>12</v>
      </c>
      <c r="D58" s="1"/>
      <c r="E58" s="14"/>
      <c r="F58" s="63"/>
      <c r="G58" s="63"/>
      <c r="H58" s="24"/>
      <c r="I58" s="62"/>
      <c r="J58" s="97"/>
      <c r="K58" s="53"/>
    </row>
    <row r="59" spans="2:11" ht="12.75">
      <c r="B59" s="32"/>
      <c r="C59" s="115" t="s">
        <v>359</v>
      </c>
      <c r="D59" s="1"/>
      <c r="E59" s="14"/>
      <c r="F59" s="56"/>
      <c r="G59" s="56"/>
      <c r="H59" s="24"/>
      <c r="I59" s="22"/>
      <c r="J59" s="102"/>
      <c r="K59" s="53"/>
    </row>
    <row r="60" spans="2:11" ht="12.75">
      <c r="B60" s="32"/>
      <c r="C60" s="115" t="s">
        <v>360</v>
      </c>
      <c r="D60" s="1"/>
      <c r="E60" s="14"/>
      <c r="F60" s="56"/>
      <c r="G60" s="56"/>
      <c r="H60" s="24"/>
      <c r="I60" s="22"/>
      <c r="J60" s="102"/>
      <c r="K60" s="53"/>
    </row>
    <row r="61" spans="2:11" ht="12.75">
      <c r="B61" s="32"/>
      <c r="C61" s="115" t="s">
        <v>361</v>
      </c>
      <c r="D61" s="1"/>
      <c r="E61" s="14"/>
      <c r="F61" s="56"/>
      <c r="G61" s="56"/>
      <c r="H61" s="24"/>
      <c r="I61" s="22"/>
      <c r="J61" s="102"/>
      <c r="K61" s="53"/>
    </row>
    <row r="62" spans="2:11" ht="7.5" customHeight="1">
      <c r="B62" s="32"/>
      <c r="C62" s="42"/>
      <c r="D62" s="1"/>
      <c r="E62" s="14"/>
      <c r="F62" s="56"/>
      <c r="G62" s="56"/>
      <c r="H62" s="24"/>
      <c r="I62" s="22"/>
      <c r="J62" s="102"/>
      <c r="K62" s="53"/>
    </row>
    <row r="63" spans="2:11" ht="12.75">
      <c r="B63" s="52"/>
      <c r="C63" s="49" t="s">
        <v>15</v>
      </c>
      <c r="D63" s="24"/>
      <c r="E63" s="24"/>
      <c r="F63" s="24"/>
      <c r="G63" s="24"/>
      <c r="H63" s="24"/>
      <c r="I63" s="24"/>
      <c r="J63" s="103"/>
      <c r="K63" s="53"/>
    </row>
    <row r="64" spans="2:11" ht="7.5" customHeight="1">
      <c r="B64" s="52"/>
      <c r="C64" s="24"/>
      <c r="D64" s="24"/>
      <c r="E64" s="24"/>
      <c r="F64" s="24"/>
      <c r="G64" s="24"/>
      <c r="H64" s="24"/>
      <c r="I64" s="24"/>
      <c r="J64" s="103"/>
      <c r="K64" s="53"/>
    </row>
    <row r="65" spans="2:11" ht="12.75">
      <c r="B65" s="52"/>
      <c r="C65" s="49" t="s">
        <v>6</v>
      </c>
      <c r="D65" s="89"/>
      <c r="E65" s="89"/>
      <c r="F65" s="89"/>
      <c r="G65" s="89"/>
      <c r="H65" s="24"/>
      <c r="I65" s="24"/>
      <c r="J65" s="103"/>
      <c r="K65" s="53"/>
    </row>
    <row r="66" spans="2:11" ht="12.75">
      <c r="B66" s="52"/>
      <c r="C66" s="49" t="s">
        <v>34</v>
      </c>
      <c r="D66" s="89"/>
      <c r="E66" s="89"/>
      <c r="F66" s="89"/>
      <c r="G66" s="89"/>
      <c r="H66" s="122"/>
      <c r="I66" s="24"/>
      <c r="J66" s="103"/>
      <c r="K66" s="53"/>
    </row>
    <row r="67" spans="2:11" ht="12.75">
      <c r="B67" s="52"/>
      <c r="C67" s="49" t="s">
        <v>4</v>
      </c>
      <c r="D67" s="89"/>
      <c r="E67" s="89"/>
      <c r="F67" s="89"/>
      <c r="G67" s="89"/>
      <c r="H67" s="123"/>
      <c r="I67" s="24"/>
      <c r="J67" s="103"/>
      <c r="K67" s="53"/>
    </row>
    <row r="68" spans="2:11" ht="25.5" customHeight="1">
      <c r="B68" s="52"/>
      <c r="C68" s="232" t="s">
        <v>32</v>
      </c>
      <c r="D68" s="232"/>
      <c r="E68" s="232"/>
      <c r="F68" s="232"/>
      <c r="G68" s="232"/>
      <c r="H68" s="232"/>
      <c r="I68" s="232"/>
      <c r="J68" s="232"/>
      <c r="K68" s="53"/>
    </row>
    <row r="69" spans="2:11" ht="35.25" customHeight="1">
      <c r="B69" s="52"/>
      <c r="C69" s="233" t="s">
        <v>33</v>
      </c>
      <c r="D69" s="233"/>
      <c r="E69" s="233"/>
      <c r="F69" s="233"/>
      <c r="G69" s="233"/>
      <c r="H69" s="233"/>
      <c r="I69" s="233"/>
      <c r="J69" s="233"/>
      <c r="K69" s="53"/>
    </row>
    <row r="70" spans="2:11" ht="12.75">
      <c r="B70" s="52"/>
      <c r="C70" s="49" t="s">
        <v>11</v>
      </c>
      <c r="D70" s="51"/>
      <c r="E70" s="51"/>
      <c r="F70" s="51"/>
      <c r="G70" s="51"/>
      <c r="H70" s="14"/>
      <c r="I70" s="24"/>
      <c r="J70" s="103"/>
      <c r="K70" s="53"/>
    </row>
    <row r="71" spans="2:11" ht="9" customHeight="1">
      <c r="B71" s="32"/>
      <c r="C71" s="14"/>
      <c r="D71" s="14"/>
      <c r="E71" s="14"/>
      <c r="F71" s="62"/>
      <c r="G71" s="62"/>
      <c r="H71" s="14"/>
      <c r="I71" s="24"/>
      <c r="J71" s="103"/>
      <c r="K71" s="53"/>
    </row>
    <row r="72" spans="2:11" ht="12.75">
      <c r="B72" s="32"/>
      <c r="C72" s="49" t="s">
        <v>8</v>
      </c>
      <c r="D72" s="51"/>
      <c r="E72" s="51"/>
      <c r="F72" s="51"/>
      <c r="G72" s="51"/>
      <c r="H72" s="14"/>
      <c r="I72" s="24"/>
      <c r="J72" s="103"/>
      <c r="K72" s="34"/>
    </row>
    <row r="73" spans="2:11" ht="13.5" customHeight="1">
      <c r="B73" s="32"/>
      <c r="C73" s="49" t="s">
        <v>20</v>
      </c>
      <c r="D73" s="90"/>
      <c r="E73" s="90"/>
      <c r="F73" s="90"/>
      <c r="G73" s="90"/>
      <c r="H73" s="14"/>
      <c r="I73" s="24"/>
      <c r="J73" s="103"/>
      <c r="K73" s="34"/>
    </row>
    <row r="74" spans="2:11" ht="13.5" customHeight="1">
      <c r="B74" s="32"/>
      <c r="C74" s="134" t="s">
        <v>43</v>
      </c>
      <c r="D74" s="49"/>
      <c r="E74" s="49"/>
      <c r="F74" s="49"/>
      <c r="G74" s="49"/>
      <c r="H74" s="14"/>
      <c r="I74" s="24"/>
      <c r="J74" s="103"/>
      <c r="K74" s="34"/>
    </row>
    <row r="75" spans="2:11" ht="13.5" customHeight="1">
      <c r="B75" s="32"/>
      <c r="C75" s="49" t="s">
        <v>41</v>
      </c>
      <c r="D75" s="16"/>
      <c r="E75" s="16"/>
      <c r="F75" s="16"/>
      <c r="G75" s="16"/>
      <c r="H75" s="14"/>
      <c r="I75" s="1"/>
      <c r="J75" s="104"/>
      <c r="K75" s="34"/>
    </row>
    <row r="76" spans="2:11" ht="10.5" customHeight="1" thickBot="1">
      <c r="B76" s="35"/>
      <c r="C76" s="21"/>
      <c r="D76" s="65"/>
      <c r="E76" s="65"/>
      <c r="F76" s="65"/>
      <c r="G76" s="65"/>
      <c r="H76" s="129"/>
      <c r="I76" s="21"/>
      <c r="J76" s="105"/>
      <c r="K76" s="66"/>
    </row>
    <row r="114" spans="2:10" ht="12.75">
      <c r="B114" s="32"/>
      <c r="D114" s="17"/>
      <c r="E114" s="17"/>
      <c r="F114" s="17"/>
      <c r="G114" s="17"/>
      <c r="I114" s="1"/>
      <c r="J114" s="106"/>
    </row>
    <row r="115" spans="2:10" ht="12.75">
      <c r="B115" s="32"/>
      <c r="D115" s="23"/>
      <c r="E115" s="23"/>
      <c r="F115" s="23"/>
      <c r="G115" s="23"/>
      <c r="I115" s="1"/>
      <c r="J115" s="106"/>
    </row>
    <row r="116" spans="2:10" ht="12.75">
      <c r="B116" s="32"/>
      <c r="D116" s="23"/>
      <c r="E116" s="23"/>
      <c r="F116" s="23"/>
      <c r="G116" s="23"/>
      <c r="I116" s="1"/>
      <c r="J116" s="106"/>
    </row>
    <row r="117" spans="2:10" ht="12.75">
      <c r="B117" s="32"/>
      <c r="D117" s="2"/>
      <c r="E117" s="2"/>
      <c r="F117" s="2"/>
      <c r="G117" s="2"/>
      <c r="I117" s="1"/>
      <c r="J117" s="106"/>
    </row>
  </sheetData>
  <sheetProtection/>
  <mergeCells count="13">
    <mergeCell ref="G12:G13"/>
    <mergeCell ref="C12:C13"/>
    <mergeCell ref="C11:E11"/>
    <mergeCell ref="C5:J5"/>
    <mergeCell ref="C4:J4"/>
    <mergeCell ref="C6:J6"/>
    <mergeCell ref="C68:J68"/>
    <mergeCell ref="C69:J69"/>
    <mergeCell ref="F11:J11"/>
    <mergeCell ref="I12:J12"/>
    <mergeCell ref="D12:D13"/>
    <mergeCell ref="F12:F13"/>
    <mergeCell ref="E12:E13"/>
  </mergeCells>
  <dataValidations count="6">
    <dataValidation type="whole" allowBlank="1" showInputMessage="1" showErrorMessage="1" sqref="H70:H65536 H14:H67 H10:H12 H1:H8">
      <formula1>1</formula1>
      <formula2>2</formula2>
    </dataValidation>
    <dataValidation allowBlank="1" showInputMessage="1" showErrorMessage="1" errorTitle="Error en RUC" error="Verifique que la longitud del RUC sea de 11 dígitos" sqref="G15:G26"/>
    <dataValidation type="whole" allowBlank="1" showInputMessage="1" showErrorMessage="1" errorTitle="Error en código de sustento" error="Verificar el código del documento de sustento según la tabla CODIGO DE SUSTENTO" sqref="I23:I26 I15:I21">
      <formula1>1</formula1>
      <formula2>4</formula2>
    </dataValidation>
    <dataValidation type="whole" allowBlank="1" showInputMessage="1" showErrorMessage="1" errorTitle="Error en código de sustento" error="Verifique los códigos válidos en la tabla CÓDIGO DE SUSTENTO&#10;&#10;" sqref="I70:I65536 I22 I27:I68 I14 I1:I11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E14:E46">
      <formula1>0</formula1>
    </dataValidation>
    <dataValidation allowBlank="1" showInputMessage="1" showErrorMessage="1" errorTitle="Error en código de sustento" error="Verifique los códigos válidos en la tabla CÓDIGO DE SUSTENTO&#10;&#10;" sqref="I12:J12 I13"/>
  </dataValidations>
  <printOptions/>
  <pageMargins left="0.31496062992125984" right="0.31496062992125984" top="0.1968503937007874" bottom="0.17" header="0.31496062992125984" footer="0.17"/>
  <pageSetup horizontalDpi="120" verticalDpi="120" orientation="landscape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115"/>
  <sheetViews>
    <sheetView tabSelected="1" zoomScale="75" zoomScaleNormal="75" zoomScalePageLayoutView="0" workbookViewId="0" topLeftCell="A1">
      <selection activeCell="C55" sqref="C55:D55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41.140625" style="0" customWidth="1"/>
    <col min="5" max="5" width="14.8515625" style="0" customWidth="1"/>
    <col min="6" max="6" width="38.00390625" style="54" customWidth="1"/>
    <col min="7" max="7" width="19.140625" style="54" customWidth="1"/>
    <col min="8" max="8" width="17.8515625" style="0" customWidth="1"/>
    <col min="9" max="9" width="13.00390625" style="54" customWidth="1"/>
    <col min="10" max="10" width="20.421875" style="95" customWidth="1"/>
    <col min="11" max="11" width="3.00390625" style="0" customWidth="1"/>
  </cols>
  <sheetData>
    <row r="1" ht="13.5" thickBot="1"/>
    <row r="2" spans="2:11" ht="15.75">
      <c r="B2" s="45"/>
      <c r="C2" s="125" t="s">
        <v>42</v>
      </c>
      <c r="D2" s="126"/>
      <c r="E2" s="28"/>
      <c r="F2" s="55"/>
      <c r="G2" s="55"/>
      <c r="H2" s="28"/>
      <c r="I2" s="135" t="s">
        <v>46</v>
      </c>
      <c r="J2" s="135"/>
      <c r="K2" s="136"/>
    </row>
    <row r="3" spans="2:11" ht="15.75">
      <c r="B3" s="130"/>
      <c r="C3" s="131"/>
      <c r="D3" s="132"/>
      <c r="E3" s="1"/>
      <c r="F3" s="56"/>
      <c r="G3" s="56"/>
      <c r="H3" s="1"/>
      <c r="I3" s="61"/>
      <c r="J3" s="61"/>
      <c r="K3" s="133"/>
    </row>
    <row r="4" spans="2:11" ht="21" customHeight="1">
      <c r="B4" s="32"/>
      <c r="C4" s="191" t="s">
        <v>17</v>
      </c>
      <c r="D4" s="192"/>
      <c r="E4" s="192"/>
      <c r="F4" s="192"/>
      <c r="G4" s="192"/>
      <c r="H4" s="192"/>
      <c r="I4" s="192"/>
      <c r="J4" s="193"/>
      <c r="K4" s="53"/>
    </row>
    <row r="5" spans="2:11" ht="9" customHeight="1">
      <c r="B5" s="32"/>
      <c r="C5" s="194"/>
      <c r="D5" s="194"/>
      <c r="E5" s="194"/>
      <c r="F5" s="194"/>
      <c r="G5" s="194"/>
      <c r="H5" s="194"/>
      <c r="I5" s="194"/>
      <c r="J5" s="194"/>
      <c r="K5" s="53"/>
    </row>
    <row r="6" spans="2:11" ht="12.75">
      <c r="B6" s="32"/>
      <c r="C6" s="194" t="s">
        <v>368</v>
      </c>
      <c r="D6" s="194"/>
      <c r="E6" s="194"/>
      <c r="F6" s="194"/>
      <c r="G6" s="194"/>
      <c r="H6" s="194"/>
      <c r="I6" s="194"/>
      <c r="J6" s="194"/>
      <c r="K6" s="53"/>
    </row>
    <row r="7" spans="2:11" ht="12.75">
      <c r="B7" s="32"/>
      <c r="C7" s="26"/>
      <c r="D7" s="26"/>
      <c r="E7" s="26"/>
      <c r="F7" s="26"/>
      <c r="G7" s="26"/>
      <c r="H7" s="26"/>
      <c r="I7" s="26"/>
      <c r="J7" s="96"/>
      <c r="K7" s="53"/>
    </row>
    <row r="8" spans="2:11" ht="12.75">
      <c r="B8" s="32"/>
      <c r="C8" s="15" t="s">
        <v>157</v>
      </c>
      <c r="D8" s="26"/>
      <c r="E8" s="26"/>
      <c r="F8" s="62"/>
      <c r="G8" s="61" t="s">
        <v>158</v>
      </c>
      <c r="H8" s="62"/>
      <c r="I8" s="62"/>
      <c r="J8" s="62"/>
      <c r="K8" s="53"/>
    </row>
    <row r="9" spans="2:11" ht="12.75">
      <c r="B9" s="32"/>
      <c r="C9" s="15" t="s">
        <v>48</v>
      </c>
      <c r="D9" s="26"/>
      <c r="E9" s="26"/>
      <c r="F9" s="26"/>
      <c r="G9" s="50"/>
      <c r="H9" s="50"/>
      <c r="I9" s="13"/>
      <c r="J9" s="102"/>
      <c r="K9" s="53"/>
    </row>
    <row r="10" spans="2:11" ht="13.5" thickBot="1">
      <c r="B10" s="32"/>
      <c r="C10" s="1"/>
      <c r="D10" s="1"/>
      <c r="E10" s="1"/>
      <c r="F10" s="56"/>
      <c r="G10" s="56"/>
      <c r="H10" s="56"/>
      <c r="I10" s="56"/>
      <c r="J10" s="97"/>
      <c r="K10" s="53"/>
    </row>
    <row r="11" spans="2:11" s="25" customFormat="1" ht="21.75" customHeight="1" thickBot="1">
      <c r="B11" s="46"/>
      <c r="C11" s="234" t="s">
        <v>6</v>
      </c>
      <c r="D11" s="235"/>
      <c r="E11" s="236"/>
      <c r="F11" s="234" t="s">
        <v>7</v>
      </c>
      <c r="G11" s="237"/>
      <c r="H11" s="237"/>
      <c r="I11" s="235"/>
      <c r="J11" s="236"/>
      <c r="K11" s="47"/>
    </row>
    <row r="12" spans="2:11" s="25" customFormat="1" ht="28.5" customHeight="1" thickBot="1">
      <c r="B12" s="46"/>
      <c r="C12" s="211" t="s">
        <v>1</v>
      </c>
      <c r="D12" s="208" t="s">
        <v>9</v>
      </c>
      <c r="E12" s="211" t="s">
        <v>38</v>
      </c>
      <c r="F12" s="239" t="s">
        <v>31</v>
      </c>
      <c r="G12" s="211" t="s">
        <v>13</v>
      </c>
      <c r="H12" s="124" t="s">
        <v>25</v>
      </c>
      <c r="I12" s="230" t="s">
        <v>35</v>
      </c>
      <c r="J12" s="231"/>
      <c r="K12" s="47"/>
    </row>
    <row r="13" spans="2:11" s="25" customFormat="1" ht="61.5" customHeight="1" thickBot="1">
      <c r="B13" s="46"/>
      <c r="C13" s="213"/>
      <c r="D13" s="238"/>
      <c r="E13" s="213"/>
      <c r="F13" s="240"/>
      <c r="G13" s="241"/>
      <c r="H13" s="151" t="s">
        <v>36</v>
      </c>
      <c r="I13" s="94" t="s">
        <v>37</v>
      </c>
      <c r="J13" s="152" t="s">
        <v>30</v>
      </c>
      <c r="K13" s="47"/>
    </row>
    <row r="14" spans="2:11" s="38" customFormat="1" ht="13.5" customHeight="1">
      <c r="B14" s="39"/>
      <c r="C14" s="171">
        <v>40631</v>
      </c>
      <c r="D14" s="154" t="s">
        <v>240</v>
      </c>
      <c r="E14" s="187">
        <f>8.9/1.18</f>
        <v>7.5423728813559325</v>
      </c>
      <c r="F14" s="156" t="s">
        <v>239</v>
      </c>
      <c r="G14" s="164" t="s">
        <v>241</v>
      </c>
      <c r="H14" s="188">
        <v>2</v>
      </c>
      <c r="I14" s="189">
        <v>1</v>
      </c>
      <c r="J14" s="159" t="s">
        <v>250</v>
      </c>
      <c r="K14" s="64"/>
    </row>
    <row r="15" spans="2:11" s="38" customFormat="1" ht="12.75" customHeight="1">
      <c r="B15" s="39"/>
      <c r="C15" s="73">
        <v>40631</v>
      </c>
      <c r="D15" s="85" t="s">
        <v>302</v>
      </c>
      <c r="E15" s="74">
        <f>5/1.18</f>
        <v>4.237288135593221</v>
      </c>
      <c r="F15" s="83" t="s">
        <v>313</v>
      </c>
      <c r="G15" s="83" t="s">
        <v>314</v>
      </c>
      <c r="H15" s="142">
        <v>2</v>
      </c>
      <c r="I15" s="138">
        <v>1</v>
      </c>
      <c r="J15" s="141" t="s">
        <v>317</v>
      </c>
      <c r="K15" s="64"/>
    </row>
    <row r="16" spans="2:11" s="38" customFormat="1" ht="12.75">
      <c r="B16" s="39"/>
      <c r="C16" s="80">
        <v>40631</v>
      </c>
      <c r="D16" s="85" t="s">
        <v>320</v>
      </c>
      <c r="E16" s="87">
        <f>20/1.18</f>
        <v>16.949152542372882</v>
      </c>
      <c r="F16" s="85" t="s">
        <v>328</v>
      </c>
      <c r="G16" s="83" t="s">
        <v>329</v>
      </c>
      <c r="H16" s="142">
        <v>2</v>
      </c>
      <c r="I16" s="138">
        <v>1</v>
      </c>
      <c r="J16" s="141" t="s">
        <v>330</v>
      </c>
      <c r="K16" s="64"/>
    </row>
    <row r="17" spans="2:12" s="38" customFormat="1" ht="12.75" customHeight="1">
      <c r="B17" s="39"/>
      <c r="C17" s="80">
        <v>40632</v>
      </c>
      <c r="D17" s="85" t="s">
        <v>302</v>
      </c>
      <c r="E17" s="87">
        <f>3.3/1.18</f>
        <v>2.7966101694915255</v>
      </c>
      <c r="F17" s="5" t="s">
        <v>313</v>
      </c>
      <c r="G17" s="83" t="s">
        <v>314</v>
      </c>
      <c r="H17" s="142">
        <v>2</v>
      </c>
      <c r="I17" s="138">
        <v>1</v>
      </c>
      <c r="J17" s="141" t="s">
        <v>318</v>
      </c>
      <c r="K17" s="64"/>
      <c r="L17" s="175">
        <f>+SUMIF(H14:H27,1,E14:E27)</f>
        <v>2000</v>
      </c>
    </row>
    <row r="18" spans="2:12" s="38" customFormat="1" ht="13.5" customHeight="1">
      <c r="B18" s="39"/>
      <c r="C18" s="80">
        <v>40632</v>
      </c>
      <c r="D18" s="85" t="s">
        <v>302</v>
      </c>
      <c r="E18" s="87">
        <f>10.1/1.18</f>
        <v>8.559322033898304</v>
      </c>
      <c r="F18" s="5" t="s">
        <v>313</v>
      </c>
      <c r="G18" s="83" t="s">
        <v>314</v>
      </c>
      <c r="H18" s="142">
        <v>2</v>
      </c>
      <c r="I18" s="138">
        <v>1</v>
      </c>
      <c r="J18" s="141" t="s">
        <v>319</v>
      </c>
      <c r="K18" s="64"/>
      <c r="L18" s="175">
        <f>+SUMIF(H14:H27,2,E14:E27)</f>
        <v>927.7203389830509</v>
      </c>
    </row>
    <row r="19" spans="2:11" s="38" customFormat="1" ht="12.75">
      <c r="B19" s="39"/>
      <c r="C19" s="80">
        <v>40632</v>
      </c>
      <c r="D19" s="85" t="s">
        <v>181</v>
      </c>
      <c r="E19" s="87">
        <f>100.01/1.18</f>
        <v>84.7542372881356</v>
      </c>
      <c r="F19" s="5" t="s">
        <v>232</v>
      </c>
      <c r="G19" s="83" t="s">
        <v>233</v>
      </c>
      <c r="H19" s="142">
        <v>2</v>
      </c>
      <c r="I19" s="138">
        <v>1</v>
      </c>
      <c r="J19" s="141" t="s">
        <v>234</v>
      </c>
      <c r="K19" s="64"/>
    </row>
    <row r="20" spans="2:11" s="38" customFormat="1" ht="12.75">
      <c r="B20" s="39"/>
      <c r="C20" s="80">
        <v>40632</v>
      </c>
      <c r="D20" s="85" t="s">
        <v>240</v>
      </c>
      <c r="E20" s="87">
        <f>10.1/1.18</f>
        <v>8.559322033898304</v>
      </c>
      <c r="F20" s="5" t="s">
        <v>245</v>
      </c>
      <c r="G20" s="83" t="s">
        <v>246</v>
      </c>
      <c r="H20" s="142">
        <v>2</v>
      </c>
      <c r="I20" s="138">
        <v>1</v>
      </c>
      <c r="J20" s="141" t="s">
        <v>249</v>
      </c>
      <c r="K20" s="64"/>
    </row>
    <row r="21" spans="2:11" s="38" customFormat="1" ht="12.75" customHeight="1">
      <c r="B21" s="39"/>
      <c r="C21" s="80">
        <v>40632</v>
      </c>
      <c r="D21" s="85" t="s">
        <v>240</v>
      </c>
      <c r="E21" s="87">
        <f>8.9/1.18</f>
        <v>7.5423728813559325</v>
      </c>
      <c r="F21" s="5" t="s">
        <v>239</v>
      </c>
      <c r="G21" s="83" t="s">
        <v>241</v>
      </c>
      <c r="H21" s="142">
        <v>2</v>
      </c>
      <c r="I21" s="138">
        <v>1</v>
      </c>
      <c r="J21" s="141" t="s">
        <v>252</v>
      </c>
      <c r="K21" s="64"/>
    </row>
    <row r="22" spans="2:11" s="38" customFormat="1" ht="12.75" customHeight="1">
      <c r="B22" s="39"/>
      <c r="C22" s="153">
        <v>40633</v>
      </c>
      <c r="D22" s="154" t="s">
        <v>159</v>
      </c>
      <c r="E22" s="155">
        <f>480/1.18</f>
        <v>406.77966101694915</v>
      </c>
      <c r="F22" s="41" t="s">
        <v>160</v>
      </c>
      <c r="G22" s="156" t="s">
        <v>161</v>
      </c>
      <c r="H22" s="157">
        <v>2</v>
      </c>
      <c r="I22" s="158">
        <v>1</v>
      </c>
      <c r="J22" s="159" t="s">
        <v>163</v>
      </c>
      <c r="K22" s="64"/>
    </row>
    <row r="23" spans="2:11" s="38" customFormat="1" ht="12.75" customHeight="1">
      <c r="B23" s="39"/>
      <c r="C23" s="143">
        <v>40633</v>
      </c>
      <c r="D23" s="172" t="s">
        <v>354</v>
      </c>
      <c r="E23" s="149">
        <v>2000</v>
      </c>
      <c r="F23" s="145" t="s">
        <v>355</v>
      </c>
      <c r="G23" s="156" t="s">
        <v>356</v>
      </c>
      <c r="H23" s="148">
        <v>1</v>
      </c>
      <c r="I23" s="144">
        <v>4</v>
      </c>
      <c r="J23" s="147" t="s">
        <v>92</v>
      </c>
      <c r="K23" s="64"/>
    </row>
    <row r="24" spans="2:11" s="38" customFormat="1" ht="12.75" customHeight="1" thickBot="1">
      <c r="B24" s="39"/>
      <c r="C24" s="80">
        <v>40633</v>
      </c>
      <c r="D24" s="85" t="s">
        <v>341</v>
      </c>
      <c r="E24" s="87">
        <v>380</v>
      </c>
      <c r="F24" s="5" t="s">
        <v>352</v>
      </c>
      <c r="G24" s="83"/>
      <c r="H24" s="142">
        <v>2</v>
      </c>
      <c r="I24" s="138">
        <v>4</v>
      </c>
      <c r="J24" s="141" t="s">
        <v>92</v>
      </c>
      <c r="K24" s="64"/>
    </row>
    <row r="25" spans="2:11" ht="13.5" hidden="1" thickBot="1">
      <c r="B25" s="32"/>
      <c r="C25" s="3"/>
      <c r="D25" s="48"/>
      <c r="E25" s="44"/>
      <c r="F25" s="57"/>
      <c r="G25" s="57"/>
      <c r="H25" s="43"/>
      <c r="I25" s="58"/>
      <c r="J25" s="98"/>
      <c r="K25" s="53"/>
    </row>
    <row r="26" spans="2:11" ht="13.5" hidden="1" thickBot="1">
      <c r="B26" s="32"/>
      <c r="C26" s="20"/>
      <c r="D26" s="19"/>
      <c r="E26" s="7"/>
      <c r="F26" s="59"/>
      <c r="G26" s="59"/>
      <c r="H26" s="6"/>
      <c r="I26" s="60"/>
      <c r="J26" s="99"/>
      <c r="K26" s="53"/>
    </row>
    <row r="27" spans="2:11" ht="13.5" hidden="1" thickBot="1">
      <c r="B27" s="32"/>
      <c r="C27" s="20"/>
      <c r="D27" s="19"/>
      <c r="E27" s="7"/>
      <c r="F27" s="59"/>
      <c r="G27" s="59"/>
      <c r="H27" s="6"/>
      <c r="I27" s="60"/>
      <c r="J27" s="99"/>
      <c r="K27" s="53"/>
    </row>
    <row r="28" spans="2:11" ht="13.5" hidden="1" thickBot="1">
      <c r="B28" s="32"/>
      <c r="C28" s="20"/>
      <c r="D28" s="19"/>
      <c r="E28" s="7"/>
      <c r="F28" s="59"/>
      <c r="G28" s="59"/>
      <c r="H28" s="6"/>
      <c r="I28" s="60"/>
      <c r="J28" s="99"/>
      <c r="K28" s="53"/>
    </row>
    <row r="29" spans="2:11" ht="13.5" hidden="1" thickBot="1">
      <c r="B29" s="32"/>
      <c r="C29" s="20"/>
      <c r="D29" s="19"/>
      <c r="E29" s="7"/>
      <c r="F29" s="59"/>
      <c r="G29" s="59"/>
      <c r="H29" s="6"/>
      <c r="I29" s="60"/>
      <c r="J29" s="99"/>
      <c r="K29" s="53"/>
    </row>
    <row r="30" spans="2:11" ht="13.5" hidden="1" thickBot="1">
      <c r="B30" s="32"/>
      <c r="C30" s="20"/>
      <c r="D30" s="19"/>
      <c r="E30" s="7"/>
      <c r="F30" s="59"/>
      <c r="G30" s="59"/>
      <c r="H30" s="6"/>
      <c r="I30" s="60"/>
      <c r="J30" s="99"/>
      <c r="K30" s="53"/>
    </row>
    <row r="31" spans="2:11" ht="13.5" hidden="1" thickBot="1">
      <c r="B31" s="32"/>
      <c r="C31" s="20"/>
      <c r="D31" s="19"/>
      <c r="E31" s="7"/>
      <c r="F31" s="59"/>
      <c r="G31" s="59"/>
      <c r="H31" s="6"/>
      <c r="I31" s="60"/>
      <c r="J31" s="99"/>
      <c r="K31" s="53"/>
    </row>
    <row r="32" spans="2:11" ht="13.5" hidden="1" thickBot="1">
      <c r="B32" s="32"/>
      <c r="C32" s="20"/>
      <c r="D32" s="19"/>
      <c r="E32" s="7"/>
      <c r="F32" s="59"/>
      <c r="G32" s="59"/>
      <c r="H32" s="6"/>
      <c r="I32" s="60"/>
      <c r="J32" s="99"/>
      <c r="K32" s="53"/>
    </row>
    <row r="33" spans="2:11" ht="13.5" hidden="1" thickBot="1">
      <c r="B33" s="32"/>
      <c r="C33" s="20"/>
      <c r="D33" s="19"/>
      <c r="E33" s="7"/>
      <c r="F33" s="59"/>
      <c r="G33" s="59"/>
      <c r="H33" s="6"/>
      <c r="I33" s="60"/>
      <c r="J33" s="99"/>
      <c r="K33" s="53"/>
    </row>
    <row r="34" spans="2:11" ht="13.5" hidden="1" thickBot="1">
      <c r="B34" s="32"/>
      <c r="C34" s="20"/>
      <c r="D34" s="19"/>
      <c r="E34" s="7"/>
      <c r="F34" s="59"/>
      <c r="G34" s="59"/>
      <c r="H34" s="6"/>
      <c r="I34" s="60"/>
      <c r="J34" s="99"/>
      <c r="K34" s="53"/>
    </row>
    <row r="35" spans="2:11" ht="13.5" hidden="1" thickBot="1">
      <c r="B35" s="32"/>
      <c r="C35" s="20"/>
      <c r="D35" s="19"/>
      <c r="E35" s="7"/>
      <c r="F35" s="59"/>
      <c r="G35" s="59"/>
      <c r="H35" s="6"/>
      <c r="I35" s="60"/>
      <c r="J35" s="99"/>
      <c r="K35" s="53"/>
    </row>
    <row r="36" spans="2:11" ht="13.5" hidden="1" thickBot="1">
      <c r="B36" s="32"/>
      <c r="C36" s="20"/>
      <c r="D36" s="19"/>
      <c r="E36" s="7"/>
      <c r="F36" s="59"/>
      <c r="G36" s="59"/>
      <c r="H36" s="6"/>
      <c r="I36" s="60"/>
      <c r="J36" s="99"/>
      <c r="K36" s="53"/>
    </row>
    <row r="37" spans="2:11" ht="13.5" hidden="1" thickBot="1">
      <c r="B37" s="32"/>
      <c r="C37" s="20"/>
      <c r="D37" s="19"/>
      <c r="E37" s="7"/>
      <c r="F37" s="59"/>
      <c r="G37" s="59"/>
      <c r="H37" s="6"/>
      <c r="I37" s="60"/>
      <c r="J37" s="99"/>
      <c r="K37" s="53"/>
    </row>
    <row r="38" spans="2:11" ht="13.5" hidden="1" thickBot="1">
      <c r="B38" s="32"/>
      <c r="C38" s="20"/>
      <c r="D38" s="19"/>
      <c r="E38" s="7"/>
      <c r="F38" s="59"/>
      <c r="G38" s="59"/>
      <c r="H38" s="91"/>
      <c r="I38" s="60"/>
      <c r="J38" s="99"/>
      <c r="K38" s="53"/>
    </row>
    <row r="39" spans="2:11" ht="13.5" hidden="1" thickBot="1">
      <c r="B39" s="32"/>
      <c r="C39" s="20"/>
      <c r="D39" s="19"/>
      <c r="E39" s="7"/>
      <c r="F39" s="59"/>
      <c r="G39" s="59"/>
      <c r="H39" s="1"/>
      <c r="I39" s="60"/>
      <c r="J39" s="99"/>
      <c r="K39" s="53"/>
    </row>
    <row r="40" spans="2:11" ht="13.5" hidden="1" thickBot="1">
      <c r="B40" s="32"/>
      <c r="C40" s="20"/>
      <c r="D40" s="19"/>
      <c r="E40" s="7"/>
      <c r="F40" s="59"/>
      <c r="G40" s="59"/>
      <c r="H40" s="1"/>
      <c r="I40" s="60"/>
      <c r="J40" s="99"/>
      <c r="K40" s="53"/>
    </row>
    <row r="41" spans="2:11" ht="13.5" hidden="1" thickBot="1">
      <c r="B41" s="32"/>
      <c r="C41" s="20"/>
      <c r="D41" s="19"/>
      <c r="E41" s="7"/>
      <c r="F41" s="59"/>
      <c r="G41" s="59"/>
      <c r="H41" s="1"/>
      <c r="I41" s="60"/>
      <c r="J41" s="99"/>
      <c r="K41" s="53"/>
    </row>
    <row r="42" spans="2:11" ht="13.5" hidden="1" thickBot="1">
      <c r="B42" s="32"/>
      <c r="C42" s="20"/>
      <c r="D42" s="19"/>
      <c r="E42" s="7"/>
      <c r="F42" s="59"/>
      <c r="G42" s="59"/>
      <c r="H42" s="1"/>
      <c r="I42" s="60"/>
      <c r="J42" s="99"/>
      <c r="K42" s="53"/>
    </row>
    <row r="43" spans="2:11" ht="13.5" hidden="1" thickBot="1">
      <c r="B43" s="32"/>
      <c r="C43" s="20"/>
      <c r="D43" s="19"/>
      <c r="E43" s="7"/>
      <c r="F43" s="59"/>
      <c r="G43" s="59"/>
      <c r="H43" s="1"/>
      <c r="I43" s="60"/>
      <c r="J43" s="99"/>
      <c r="K43" s="53"/>
    </row>
    <row r="44" spans="2:11" ht="13.5" hidden="1" thickBot="1">
      <c r="B44" s="32"/>
      <c r="C44" s="67"/>
      <c r="D44" s="68"/>
      <c r="E44" s="75"/>
      <c r="F44" s="69"/>
      <c r="G44" s="69"/>
      <c r="H44" s="1"/>
      <c r="I44" s="70"/>
      <c r="J44" s="100"/>
      <c r="K44" s="53"/>
    </row>
    <row r="45" spans="2:11" ht="13.5" thickBot="1">
      <c r="B45" s="32"/>
      <c r="C45" s="71"/>
      <c r="D45" s="88"/>
      <c r="E45" s="76">
        <f>SUM(E14:E44)</f>
        <v>2927.720338983051</v>
      </c>
      <c r="F45" s="71"/>
      <c r="G45" s="72"/>
      <c r="H45" s="72"/>
      <c r="I45" s="72"/>
      <c r="J45" s="101"/>
      <c r="K45" s="53"/>
    </row>
    <row r="46" spans="2:11" ht="12.75">
      <c r="B46" s="32"/>
      <c r="C46" s="18" t="s">
        <v>19</v>
      </c>
      <c r="D46" s="13"/>
      <c r="E46" s="13"/>
      <c r="F46" s="56"/>
      <c r="G46" s="56"/>
      <c r="H46" s="1"/>
      <c r="I46" s="56"/>
      <c r="J46" s="97"/>
      <c r="K46" s="53"/>
    </row>
    <row r="47" spans="2:11" ht="12.75">
      <c r="B47" s="32"/>
      <c r="C47" s="24"/>
      <c r="D47" s="1"/>
      <c r="E47" s="1"/>
      <c r="F47" s="56"/>
      <c r="G47" s="56"/>
      <c r="H47" s="1"/>
      <c r="I47" s="56"/>
      <c r="J47" s="97"/>
      <c r="K47" s="53"/>
    </row>
    <row r="48" spans="2:11" ht="9.75" customHeight="1">
      <c r="B48" s="32"/>
      <c r="C48" s="1"/>
      <c r="D48" s="1"/>
      <c r="E48" s="1"/>
      <c r="F48" s="56"/>
      <c r="G48" s="56"/>
      <c r="H48" s="1"/>
      <c r="I48" s="56"/>
      <c r="J48" s="97"/>
      <c r="K48" s="53"/>
    </row>
    <row r="49" spans="2:11" ht="12.75" hidden="1">
      <c r="B49" s="32"/>
      <c r="C49" s="1"/>
      <c r="D49" s="1"/>
      <c r="E49" s="1"/>
      <c r="F49" s="56"/>
      <c r="G49" s="56"/>
      <c r="H49" s="14"/>
      <c r="I49" s="56"/>
      <c r="J49" s="97"/>
      <c r="K49" s="53"/>
    </row>
    <row r="50" spans="2:11" ht="12.75" hidden="1">
      <c r="B50" s="32"/>
      <c r="C50" s="1"/>
      <c r="D50" s="1"/>
      <c r="E50" s="1"/>
      <c r="F50" s="56"/>
      <c r="G50" s="56"/>
      <c r="H50" s="1"/>
      <c r="I50" s="56"/>
      <c r="J50" s="97"/>
      <c r="K50" s="53"/>
    </row>
    <row r="51" spans="2:11" ht="12.75" hidden="1">
      <c r="B51" s="32"/>
      <c r="C51" s="1"/>
      <c r="D51" s="1"/>
      <c r="E51" s="1"/>
      <c r="F51" s="56"/>
      <c r="G51" s="56"/>
      <c r="H51" s="1"/>
      <c r="I51" s="56"/>
      <c r="J51" s="97"/>
      <c r="K51" s="53"/>
    </row>
    <row r="52" spans="2:11" ht="12.75" hidden="1">
      <c r="B52" s="32"/>
      <c r="C52" s="1"/>
      <c r="D52" s="1"/>
      <c r="E52" s="1"/>
      <c r="F52" s="56"/>
      <c r="G52" s="56"/>
      <c r="H52" s="1"/>
      <c r="I52" s="56"/>
      <c r="J52" s="97"/>
      <c r="K52" s="53"/>
    </row>
    <row r="53" spans="2:11" ht="12.75" hidden="1">
      <c r="B53" s="32"/>
      <c r="C53" s="1"/>
      <c r="D53" s="1"/>
      <c r="E53" s="1"/>
      <c r="F53" s="56"/>
      <c r="G53" s="56"/>
      <c r="H53" s="1"/>
      <c r="I53" s="56"/>
      <c r="J53" s="97"/>
      <c r="K53" s="53"/>
    </row>
    <row r="54" spans="2:11" ht="12.75">
      <c r="B54" s="32"/>
      <c r="C54" s="1"/>
      <c r="D54" s="1"/>
      <c r="E54" s="1"/>
      <c r="F54" s="61"/>
      <c r="G54" s="61"/>
      <c r="H54" s="14"/>
      <c r="I54" s="56"/>
      <c r="J54" s="97"/>
      <c r="K54" s="53"/>
    </row>
    <row r="55" spans="2:11" ht="12.75">
      <c r="B55" s="32"/>
      <c r="C55" s="190"/>
      <c r="D55" s="190"/>
      <c r="E55" s="14"/>
      <c r="F55" s="63"/>
      <c r="G55" s="63"/>
      <c r="H55" s="24"/>
      <c r="I55" s="62"/>
      <c r="J55" s="102"/>
      <c r="K55" s="53"/>
    </row>
    <row r="56" spans="2:11" ht="12.75">
      <c r="B56" s="32"/>
      <c r="C56" s="15" t="s">
        <v>12</v>
      </c>
      <c r="D56" s="1"/>
      <c r="E56" s="14"/>
      <c r="F56" s="63"/>
      <c r="G56" s="63"/>
      <c r="H56" s="24"/>
      <c r="I56" s="62"/>
      <c r="J56" s="97"/>
      <c r="K56" s="53"/>
    </row>
    <row r="57" spans="2:11" ht="12.75">
      <c r="B57" s="32"/>
      <c r="C57" s="115" t="s">
        <v>359</v>
      </c>
      <c r="D57" s="1"/>
      <c r="E57" s="14"/>
      <c r="F57" s="56"/>
      <c r="G57" s="56"/>
      <c r="H57" s="24"/>
      <c r="I57" s="22"/>
      <c r="J57" s="102"/>
      <c r="K57" s="53"/>
    </row>
    <row r="58" spans="2:11" ht="12.75">
      <c r="B58" s="32"/>
      <c r="C58" s="115" t="s">
        <v>360</v>
      </c>
      <c r="D58" s="1"/>
      <c r="E58" s="14"/>
      <c r="F58" s="56"/>
      <c r="G58" s="56"/>
      <c r="H58" s="24"/>
      <c r="I58" s="22"/>
      <c r="J58" s="102"/>
      <c r="K58" s="53"/>
    </row>
    <row r="59" spans="2:11" ht="12.75">
      <c r="B59" s="32"/>
      <c r="C59" s="115" t="s">
        <v>361</v>
      </c>
      <c r="D59" s="1"/>
      <c r="E59" s="14"/>
      <c r="F59" s="56"/>
      <c r="G59" s="56"/>
      <c r="H59" s="24"/>
      <c r="I59" s="22"/>
      <c r="J59" s="102"/>
      <c r="K59" s="53"/>
    </row>
    <row r="60" spans="2:11" ht="12.75">
      <c r="B60" s="32"/>
      <c r="C60" s="42"/>
      <c r="D60" s="1"/>
      <c r="E60" s="14"/>
      <c r="F60" s="56"/>
      <c r="G60" s="56"/>
      <c r="H60" s="24"/>
      <c r="I60" s="22"/>
      <c r="J60" s="102"/>
      <c r="K60" s="53"/>
    </row>
    <row r="61" spans="2:11" ht="12.75">
      <c r="B61" s="52"/>
      <c r="C61" s="49" t="s">
        <v>15</v>
      </c>
      <c r="D61" s="24"/>
      <c r="E61" s="24"/>
      <c r="F61" s="24"/>
      <c r="G61" s="24"/>
      <c r="H61" s="24"/>
      <c r="I61" s="24"/>
      <c r="J61" s="103"/>
      <c r="K61" s="53"/>
    </row>
    <row r="62" spans="2:11" ht="12.75">
      <c r="B62" s="52"/>
      <c r="C62" s="24"/>
      <c r="D62" s="24"/>
      <c r="E62" s="24"/>
      <c r="F62" s="24"/>
      <c r="G62" s="24"/>
      <c r="H62" s="24"/>
      <c r="I62" s="24"/>
      <c r="J62" s="103"/>
      <c r="K62" s="53"/>
    </row>
    <row r="63" spans="2:11" ht="12.75">
      <c r="B63" s="52"/>
      <c r="C63" s="49" t="s">
        <v>6</v>
      </c>
      <c r="D63" s="89"/>
      <c r="E63" s="89"/>
      <c r="F63" s="89"/>
      <c r="G63" s="89"/>
      <c r="H63" s="24"/>
      <c r="I63" s="24"/>
      <c r="J63" s="103"/>
      <c r="K63" s="53"/>
    </row>
    <row r="64" spans="2:11" ht="12.75">
      <c r="B64" s="52"/>
      <c r="C64" s="49" t="s">
        <v>34</v>
      </c>
      <c r="D64" s="89"/>
      <c r="E64" s="89"/>
      <c r="F64" s="89"/>
      <c r="G64" s="89"/>
      <c r="H64" s="122"/>
      <c r="I64" s="24"/>
      <c r="J64" s="103"/>
      <c r="K64" s="53"/>
    </row>
    <row r="65" spans="2:11" ht="12.75">
      <c r="B65" s="52"/>
      <c r="C65" s="49" t="s">
        <v>4</v>
      </c>
      <c r="D65" s="89"/>
      <c r="E65" s="89"/>
      <c r="F65" s="89"/>
      <c r="G65" s="89"/>
      <c r="H65" s="123"/>
      <c r="I65" s="24"/>
      <c r="J65" s="103"/>
      <c r="K65" s="53"/>
    </row>
    <row r="66" spans="2:11" ht="25.5" customHeight="1">
      <c r="B66" s="52"/>
      <c r="C66" s="232" t="s">
        <v>32</v>
      </c>
      <c r="D66" s="232"/>
      <c r="E66" s="232"/>
      <c r="F66" s="232"/>
      <c r="G66" s="232"/>
      <c r="H66" s="232"/>
      <c r="I66" s="232"/>
      <c r="J66" s="232"/>
      <c r="K66" s="53"/>
    </row>
    <row r="67" spans="2:11" ht="35.25" customHeight="1">
      <c r="B67" s="52"/>
      <c r="C67" s="233" t="s">
        <v>33</v>
      </c>
      <c r="D67" s="233"/>
      <c r="E67" s="233"/>
      <c r="F67" s="233"/>
      <c r="G67" s="233"/>
      <c r="H67" s="233"/>
      <c r="I67" s="233"/>
      <c r="J67" s="233"/>
      <c r="K67" s="53"/>
    </row>
    <row r="68" spans="2:11" ht="12.75">
      <c r="B68" s="52"/>
      <c r="C68" s="49" t="s">
        <v>11</v>
      </c>
      <c r="D68" s="51"/>
      <c r="E68" s="51"/>
      <c r="F68" s="51"/>
      <c r="G68" s="51"/>
      <c r="H68" s="14"/>
      <c r="I68" s="24"/>
      <c r="J68" s="103"/>
      <c r="K68" s="53"/>
    </row>
    <row r="69" spans="2:11" ht="12.75">
      <c r="B69" s="32"/>
      <c r="C69" s="14"/>
      <c r="D69" s="14"/>
      <c r="E69" s="14"/>
      <c r="F69" s="62"/>
      <c r="G69" s="62"/>
      <c r="H69" s="14"/>
      <c r="I69" s="24"/>
      <c r="J69" s="103"/>
      <c r="K69" s="53"/>
    </row>
    <row r="70" spans="2:11" ht="12.75">
      <c r="B70" s="32"/>
      <c r="C70" s="49" t="s">
        <v>8</v>
      </c>
      <c r="D70" s="51"/>
      <c r="E70" s="51"/>
      <c r="F70" s="51"/>
      <c r="G70" s="51"/>
      <c r="H70" s="14"/>
      <c r="I70" s="24"/>
      <c r="J70" s="103"/>
      <c r="K70" s="34"/>
    </row>
    <row r="71" spans="2:11" ht="13.5" customHeight="1">
      <c r="B71" s="32"/>
      <c r="C71" s="49" t="s">
        <v>20</v>
      </c>
      <c r="D71" s="90"/>
      <c r="E71" s="90"/>
      <c r="F71" s="90"/>
      <c r="G71" s="90"/>
      <c r="H71" s="14"/>
      <c r="I71" s="24"/>
      <c r="J71" s="103"/>
      <c r="K71" s="34"/>
    </row>
    <row r="72" spans="2:11" ht="13.5" customHeight="1">
      <c r="B72" s="32"/>
      <c r="C72" s="134" t="s">
        <v>43</v>
      </c>
      <c r="D72" s="49"/>
      <c r="E72" s="49"/>
      <c r="F72" s="49"/>
      <c r="G72" s="49"/>
      <c r="H72" s="14"/>
      <c r="I72" s="24"/>
      <c r="J72" s="103"/>
      <c r="K72" s="34"/>
    </row>
    <row r="73" spans="2:11" ht="13.5" customHeight="1">
      <c r="B73" s="32"/>
      <c r="C73" s="49" t="s">
        <v>41</v>
      </c>
      <c r="D73" s="16"/>
      <c r="E73" s="16"/>
      <c r="F73" s="16"/>
      <c r="G73" s="16"/>
      <c r="H73" s="14"/>
      <c r="I73" s="1"/>
      <c r="J73" s="104"/>
      <c r="K73" s="34"/>
    </row>
    <row r="74" spans="2:11" ht="13.5" thickBot="1">
      <c r="B74" s="35"/>
      <c r="C74" s="21"/>
      <c r="D74" s="65"/>
      <c r="E74" s="65"/>
      <c r="F74" s="65"/>
      <c r="G74" s="65"/>
      <c r="H74" s="129"/>
      <c r="I74" s="21"/>
      <c r="J74" s="105"/>
      <c r="K74" s="66"/>
    </row>
    <row r="112" spans="2:10" ht="12.75">
      <c r="B112" s="32"/>
      <c r="D112" s="17"/>
      <c r="E112" s="17"/>
      <c r="F112" s="17"/>
      <c r="G112" s="17"/>
      <c r="I112" s="1"/>
      <c r="J112" s="106"/>
    </row>
    <row r="113" spans="2:10" ht="12.75">
      <c r="B113" s="32"/>
      <c r="D113" s="23"/>
      <c r="E113" s="23"/>
      <c r="F113" s="23"/>
      <c r="G113" s="23"/>
      <c r="I113" s="1"/>
      <c r="J113" s="106"/>
    </row>
    <row r="114" spans="2:10" ht="12.75">
      <c r="B114" s="32"/>
      <c r="D114" s="23"/>
      <c r="E114" s="23"/>
      <c r="F114" s="23"/>
      <c r="G114" s="23"/>
      <c r="I114" s="1"/>
      <c r="J114" s="106"/>
    </row>
    <row r="115" spans="2:10" ht="12.75">
      <c r="B115" s="32"/>
      <c r="D115" s="2"/>
      <c r="E115" s="2"/>
      <c r="F115" s="2"/>
      <c r="G115" s="2"/>
      <c r="I115" s="1"/>
      <c r="J115" s="106"/>
    </row>
  </sheetData>
  <sheetProtection/>
  <mergeCells count="13">
    <mergeCell ref="E12:E13"/>
    <mergeCell ref="F12:F13"/>
    <mergeCell ref="G12:G13"/>
    <mergeCell ref="I12:J12"/>
    <mergeCell ref="C66:J66"/>
    <mergeCell ref="C67:J67"/>
    <mergeCell ref="C4:J4"/>
    <mergeCell ref="C5:J5"/>
    <mergeCell ref="C6:J6"/>
    <mergeCell ref="C11:E11"/>
    <mergeCell ref="F11:J11"/>
    <mergeCell ref="C12:C13"/>
    <mergeCell ref="D12:D13"/>
  </mergeCells>
  <dataValidations count="6">
    <dataValidation allowBlank="1" showInputMessage="1" showErrorMessage="1" errorTitle="Error en RUC" error="Verifique que la longitud del RUC sea de 11 dígitos" sqref="G15:G24"/>
    <dataValidation type="whole" allowBlank="1" showInputMessage="1" showErrorMessage="1" sqref="H68:H65536 H1:H8 H14:H65 H10:H12">
      <formula1>1</formula1>
      <formula2>2</formula2>
    </dataValidation>
    <dataValidation type="whole" allowBlank="1" showInputMessage="1" showErrorMessage="1" errorTitle="Error en código de sustento" error="Verifique los códigos válidos en la tabla CÓDIGO DE SUSTENTO&#10;&#10;" sqref="I68:I65536 I19:I21 I25:I66 I1:I11 I14">
      <formula1>1</formula1>
      <formula2>4</formula2>
    </dataValidation>
    <dataValidation type="whole" allowBlank="1" showInputMessage="1" showErrorMessage="1" errorTitle="Error en código de sustento" error="Verificar el código del documento de sustento según la tabla CODIGO DE SUSTENTO" sqref="I22:I24 I15:I18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E14:E44">
      <formula1>0</formula1>
    </dataValidation>
    <dataValidation allowBlank="1" showInputMessage="1" showErrorMessage="1" errorTitle="Error en código de sustento" error="Verifique los códigos válidos en la tabla CÓDIGO DE SUSTENTO&#10;&#10;" sqref="I12:J12 I13"/>
  </dataValidations>
  <printOptions/>
  <pageMargins left="0.31496062992125984" right="0.31496062992125984" top="0.1968503937007874" bottom="0.17" header="0.31496062992125984" footer="0.17"/>
  <pageSetup horizontalDpi="120" verticalDpi="12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9"/>
  <sheetViews>
    <sheetView zoomScale="75" zoomScaleNormal="75" zoomScalePageLayoutView="0" workbookViewId="0" topLeftCell="A1">
      <selection activeCell="J26" sqref="J26"/>
    </sheetView>
  </sheetViews>
  <sheetFormatPr defaultColWidth="11.421875" defaultRowHeight="12.75"/>
  <cols>
    <col min="1" max="1" width="1.421875" style="0" customWidth="1"/>
    <col min="2" max="2" width="0.85546875" style="0" customWidth="1"/>
    <col min="3" max="3" width="10.7109375" style="107" customWidth="1"/>
    <col min="4" max="4" width="14.00390625" style="0" customWidth="1"/>
    <col min="5" max="5" width="39.57421875" style="0" customWidth="1"/>
    <col min="6" max="6" width="12.57421875" style="0" customWidth="1"/>
    <col min="7" max="7" width="11.57421875" style="0" customWidth="1"/>
    <col min="8" max="8" width="7.8515625" style="119" customWidth="1"/>
    <col min="9" max="9" width="14.421875" style="0" customWidth="1"/>
    <col min="10" max="10" width="13.140625" style="0" customWidth="1"/>
    <col min="11" max="11" width="40.57421875" style="0" customWidth="1"/>
    <col min="12" max="12" width="1.28515625" style="0" customWidth="1"/>
    <col min="14" max="14" width="12.140625" style="0" bestFit="1" customWidth="1"/>
    <col min="15" max="15" width="104.57421875" style="0" customWidth="1"/>
  </cols>
  <sheetData>
    <row r="1" ht="7.5" customHeight="1" thickBot="1"/>
    <row r="2" spans="2:12" ht="12.75">
      <c r="B2" s="27"/>
      <c r="C2" s="108" t="s">
        <v>42</v>
      </c>
      <c r="D2" s="29"/>
      <c r="E2" s="28"/>
      <c r="F2" s="28"/>
      <c r="G2" s="28"/>
      <c r="H2" s="120"/>
      <c r="I2" s="28"/>
      <c r="J2" s="29"/>
      <c r="K2" s="30" t="s">
        <v>45</v>
      </c>
      <c r="L2" s="31"/>
    </row>
    <row r="3" spans="2:12" ht="4.5" customHeight="1">
      <c r="B3" s="32"/>
      <c r="C3" s="109"/>
      <c r="D3" s="2"/>
      <c r="E3" s="1"/>
      <c r="F3" s="1"/>
      <c r="G3" s="1"/>
      <c r="H3" s="106"/>
      <c r="I3" s="1"/>
      <c r="J3" s="1"/>
      <c r="K3" s="1"/>
      <c r="L3" s="33"/>
    </row>
    <row r="4" spans="2:12" s="78" customFormat="1" ht="12" customHeight="1">
      <c r="B4" s="77"/>
      <c r="C4" s="191" t="s">
        <v>18</v>
      </c>
      <c r="D4" s="192"/>
      <c r="E4" s="192"/>
      <c r="F4" s="192"/>
      <c r="G4" s="192"/>
      <c r="H4" s="192"/>
      <c r="I4" s="192"/>
      <c r="J4" s="192"/>
      <c r="K4" s="193"/>
      <c r="L4" s="93"/>
    </row>
    <row r="5" spans="2:12" ht="3.75" customHeight="1">
      <c r="B5" s="32"/>
      <c r="C5" s="110"/>
      <c r="D5" s="14"/>
      <c r="E5" s="14"/>
      <c r="F5" s="14"/>
      <c r="G5" s="14"/>
      <c r="H5" s="121"/>
      <c r="I5" s="14"/>
      <c r="J5" s="14"/>
      <c r="K5" s="14"/>
      <c r="L5" s="33"/>
    </row>
    <row r="6" spans="2:12" ht="12" customHeight="1">
      <c r="B6" s="32"/>
      <c r="C6" s="194" t="s">
        <v>362</v>
      </c>
      <c r="D6" s="194"/>
      <c r="E6" s="194"/>
      <c r="F6" s="194"/>
      <c r="G6" s="194"/>
      <c r="H6" s="194"/>
      <c r="I6" s="194"/>
      <c r="J6" s="194"/>
      <c r="K6" s="194"/>
      <c r="L6" s="33"/>
    </row>
    <row r="7" spans="2:12" ht="5.25" customHeight="1">
      <c r="B7" s="32"/>
      <c r="C7" s="111"/>
      <c r="D7" s="26"/>
      <c r="E7" s="26"/>
      <c r="F7" s="26"/>
      <c r="G7" s="26"/>
      <c r="H7" s="96"/>
      <c r="I7" s="26"/>
      <c r="J7" s="26"/>
      <c r="K7" s="26"/>
      <c r="L7" s="33"/>
    </row>
    <row r="8" spans="2:12" ht="12.75">
      <c r="B8" s="32"/>
      <c r="C8" s="112" t="s">
        <v>47</v>
      </c>
      <c r="D8" s="26"/>
      <c r="E8" s="26"/>
      <c r="F8" s="92"/>
      <c r="G8" s="14"/>
      <c r="H8" s="121"/>
      <c r="I8" s="195" t="s">
        <v>49</v>
      </c>
      <c r="J8" s="196"/>
      <c r="K8" s="196"/>
      <c r="L8" s="197"/>
    </row>
    <row r="9" spans="2:12" ht="12.75" customHeight="1">
      <c r="B9" s="32"/>
      <c r="C9" s="112" t="s">
        <v>48</v>
      </c>
      <c r="D9" s="26"/>
      <c r="E9" s="26"/>
      <c r="F9" s="26"/>
      <c r="G9" s="26"/>
      <c r="H9" s="121"/>
      <c r="I9" s="14"/>
      <c r="J9" s="14"/>
      <c r="K9" s="14"/>
      <c r="L9" s="53"/>
    </row>
    <row r="10" spans="2:12" ht="3.75" customHeight="1" thickBot="1">
      <c r="B10" s="32"/>
      <c r="C10" s="109"/>
      <c r="D10" s="1"/>
      <c r="E10" s="1"/>
      <c r="F10" s="1"/>
      <c r="G10" s="1"/>
      <c r="H10" s="106"/>
      <c r="I10" s="1"/>
      <c r="J10" s="1"/>
      <c r="K10" s="1"/>
      <c r="L10" s="33"/>
    </row>
    <row r="11" spans="2:12" ht="19.5" customHeight="1" thickBot="1">
      <c r="B11" s="32"/>
      <c r="C11" s="198" t="s">
        <v>14</v>
      </c>
      <c r="D11" s="201" t="s">
        <v>44</v>
      </c>
      <c r="E11" s="204" t="s">
        <v>5</v>
      </c>
      <c r="F11" s="205"/>
      <c r="G11" s="206" t="s">
        <v>2</v>
      </c>
      <c r="H11" s="207"/>
      <c r="I11" s="207"/>
      <c r="J11" s="207"/>
      <c r="K11" s="205"/>
      <c r="L11" s="34"/>
    </row>
    <row r="12" spans="2:12" ht="27" customHeight="1" thickBot="1">
      <c r="B12" s="32"/>
      <c r="C12" s="199"/>
      <c r="D12" s="202"/>
      <c r="E12" s="208" t="s">
        <v>40</v>
      </c>
      <c r="F12" s="211" t="s">
        <v>13</v>
      </c>
      <c r="G12" s="214" t="s">
        <v>3</v>
      </c>
      <c r="H12" s="215"/>
      <c r="I12" s="124" t="s">
        <v>25</v>
      </c>
      <c r="J12" s="211" t="s">
        <v>38</v>
      </c>
      <c r="K12" s="209" t="s">
        <v>16</v>
      </c>
      <c r="L12" s="34"/>
    </row>
    <row r="13" spans="2:12" ht="18" customHeight="1">
      <c r="B13" s="32"/>
      <c r="C13" s="199"/>
      <c r="D13" s="202"/>
      <c r="E13" s="209"/>
      <c r="F13" s="212"/>
      <c r="G13" s="216" t="s">
        <v>37</v>
      </c>
      <c r="H13" s="218" t="s">
        <v>24</v>
      </c>
      <c r="I13" s="220" t="s">
        <v>36</v>
      </c>
      <c r="J13" s="212"/>
      <c r="K13" s="209"/>
      <c r="L13" s="34"/>
    </row>
    <row r="14" spans="2:12" ht="28.5" customHeight="1" thickBot="1">
      <c r="B14" s="32"/>
      <c r="C14" s="200"/>
      <c r="D14" s="203"/>
      <c r="E14" s="210"/>
      <c r="F14" s="213"/>
      <c r="G14" s="217"/>
      <c r="H14" s="219"/>
      <c r="I14" s="217"/>
      <c r="J14" s="213"/>
      <c r="K14" s="210"/>
      <c r="L14" s="34"/>
    </row>
    <row r="15" spans="2:12" s="38" customFormat="1" ht="27" customHeight="1">
      <c r="B15" s="39"/>
      <c r="C15" s="79">
        <v>40589</v>
      </c>
      <c r="D15" s="137">
        <v>3</v>
      </c>
      <c r="E15" s="81" t="s">
        <v>62</v>
      </c>
      <c r="F15" s="82" t="s">
        <v>63</v>
      </c>
      <c r="G15" s="137">
        <v>1</v>
      </c>
      <c r="H15" s="139" t="s">
        <v>64</v>
      </c>
      <c r="I15" s="140">
        <v>2</v>
      </c>
      <c r="J15" s="86">
        <v>3072.5</v>
      </c>
      <c r="K15" s="84" t="s">
        <v>66</v>
      </c>
      <c r="L15" s="40"/>
    </row>
    <row r="16" spans="2:12" s="38" customFormat="1" ht="12.75">
      <c r="B16" s="39"/>
      <c r="C16" s="80">
        <v>40593</v>
      </c>
      <c r="D16" s="138">
        <v>4</v>
      </c>
      <c r="E16" s="5" t="s">
        <v>107</v>
      </c>
      <c r="F16" s="83" t="s">
        <v>108</v>
      </c>
      <c r="G16" s="138">
        <v>1</v>
      </c>
      <c r="H16" s="141" t="s">
        <v>109</v>
      </c>
      <c r="I16" s="142">
        <v>2</v>
      </c>
      <c r="J16" s="87">
        <v>142.37</v>
      </c>
      <c r="K16" s="85" t="s">
        <v>110</v>
      </c>
      <c r="L16" s="40"/>
    </row>
    <row r="17" spans="2:12" s="38" customFormat="1" ht="12.75">
      <c r="B17" s="39"/>
      <c r="C17" s="153">
        <v>40595</v>
      </c>
      <c r="D17" s="158">
        <v>4</v>
      </c>
      <c r="E17" s="41" t="s">
        <v>107</v>
      </c>
      <c r="F17" s="156" t="s">
        <v>108</v>
      </c>
      <c r="G17" s="158">
        <v>1</v>
      </c>
      <c r="H17" s="159" t="s">
        <v>111</v>
      </c>
      <c r="I17" s="157">
        <v>2</v>
      </c>
      <c r="J17" s="155">
        <f>450/1.18</f>
        <v>381.35593220338984</v>
      </c>
      <c r="K17" s="154" t="s">
        <v>112</v>
      </c>
      <c r="L17" s="40"/>
    </row>
    <row r="18" spans="2:12" s="38" customFormat="1" ht="13.5" customHeight="1">
      <c r="B18" s="39"/>
      <c r="C18" s="143">
        <v>40596</v>
      </c>
      <c r="D18" s="144">
        <v>4</v>
      </c>
      <c r="E18" s="145" t="s">
        <v>77</v>
      </c>
      <c r="F18" s="146" t="s">
        <v>78</v>
      </c>
      <c r="G18" s="144">
        <v>2</v>
      </c>
      <c r="H18" s="147" t="s">
        <v>79</v>
      </c>
      <c r="I18" s="148">
        <v>2</v>
      </c>
      <c r="J18" s="149">
        <v>102</v>
      </c>
      <c r="K18" s="150" t="s">
        <v>84</v>
      </c>
      <c r="L18" s="40"/>
    </row>
    <row r="19" spans="2:12" s="38" customFormat="1" ht="13.5" customHeight="1">
      <c r="B19" s="39"/>
      <c r="C19" s="80">
        <v>40596</v>
      </c>
      <c r="D19" s="138">
        <v>4</v>
      </c>
      <c r="E19" s="5" t="s">
        <v>107</v>
      </c>
      <c r="F19" s="83" t="s">
        <v>108</v>
      </c>
      <c r="G19" s="138">
        <v>1</v>
      </c>
      <c r="H19" s="141" t="s">
        <v>113</v>
      </c>
      <c r="I19" s="142">
        <v>2</v>
      </c>
      <c r="J19" s="87">
        <f>399.99/1.18</f>
        <v>338.9745762711865</v>
      </c>
      <c r="K19" s="85" t="s">
        <v>112</v>
      </c>
      <c r="L19" s="40"/>
    </row>
    <row r="20" spans="2:12" s="38" customFormat="1" ht="29.25" customHeight="1">
      <c r="B20" s="39"/>
      <c r="C20" s="80">
        <v>40597</v>
      </c>
      <c r="D20" s="138">
        <v>3</v>
      </c>
      <c r="E20" s="5" t="s">
        <v>65</v>
      </c>
      <c r="F20" s="83" t="s">
        <v>67</v>
      </c>
      <c r="G20" s="138">
        <v>1</v>
      </c>
      <c r="H20" s="141" t="s">
        <v>68</v>
      </c>
      <c r="I20" s="142">
        <v>2</v>
      </c>
      <c r="J20" s="87">
        <v>1223.26</v>
      </c>
      <c r="K20" s="85" t="s">
        <v>69</v>
      </c>
      <c r="L20" s="40"/>
    </row>
    <row r="21" spans="2:12" s="38" customFormat="1" ht="13.5" customHeight="1">
      <c r="B21" s="39"/>
      <c r="C21" s="143">
        <v>40598</v>
      </c>
      <c r="D21" s="144">
        <v>4</v>
      </c>
      <c r="E21" s="145" t="s">
        <v>107</v>
      </c>
      <c r="F21" s="83" t="s">
        <v>108</v>
      </c>
      <c r="G21" s="144">
        <v>1</v>
      </c>
      <c r="H21" s="147" t="s">
        <v>114</v>
      </c>
      <c r="I21" s="148">
        <v>2</v>
      </c>
      <c r="J21" s="149">
        <f>423.85/1.18</f>
        <v>359.19491525423734</v>
      </c>
      <c r="K21" s="150" t="s">
        <v>115</v>
      </c>
      <c r="L21" s="40"/>
    </row>
    <row r="22" spans="2:14" s="38" customFormat="1" ht="13.5" customHeight="1">
      <c r="B22" s="39"/>
      <c r="C22" s="80">
        <v>40599</v>
      </c>
      <c r="D22" s="138">
        <v>4</v>
      </c>
      <c r="E22" s="5" t="s">
        <v>80</v>
      </c>
      <c r="F22" s="83" t="s">
        <v>81</v>
      </c>
      <c r="G22" s="138">
        <v>2</v>
      </c>
      <c r="H22" s="141" t="s">
        <v>82</v>
      </c>
      <c r="I22" s="142">
        <v>2</v>
      </c>
      <c r="J22" s="87">
        <v>21</v>
      </c>
      <c r="K22" s="85" t="s">
        <v>85</v>
      </c>
      <c r="L22" s="40"/>
      <c r="M22" s="38">
        <v>1</v>
      </c>
      <c r="N22" s="38">
        <f>+SUMIF(I15:I28,1,J15:J28)</f>
        <v>2940</v>
      </c>
    </row>
    <row r="23" spans="2:14" s="38" customFormat="1" ht="13.5" customHeight="1">
      <c r="B23" s="39"/>
      <c r="C23" s="80">
        <v>40607</v>
      </c>
      <c r="D23" s="138">
        <v>4</v>
      </c>
      <c r="E23" s="5" t="s">
        <v>88</v>
      </c>
      <c r="F23" s="83"/>
      <c r="G23" s="138">
        <v>4</v>
      </c>
      <c r="H23" s="141" t="s">
        <v>92</v>
      </c>
      <c r="I23" s="142">
        <v>1</v>
      </c>
      <c r="J23" s="87">
        <v>550</v>
      </c>
      <c r="K23" s="85" t="s">
        <v>87</v>
      </c>
      <c r="L23" s="40"/>
      <c r="M23" s="38">
        <v>2</v>
      </c>
      <c r="N23" s="38">
        <f>+SUMIF(I15:I28,2,J15:J28)</f>
        <v>10959.299491525424</v>
      </c>
    </row>
    <row r="24" spans="2:12" s="38" customFormat="1" ht="13.5" customHeight="1">
      <c r="B24" s="39"/>
      <c r="C24" s="80">
        <v>40607</v>
      </c>
      <c r="D24" s="138">
        <v>4</v>
      </c>
      <c r="E24" s="160" t="s">
        <v>339</v>
      </c>
      <c r="F24" s="83"/>
      <c r="G24" s="138">
        <v>4</v>
      </c>
      <c r="H24" s="141" t="s">
        <v>92</v>
      </c>
      <c r="I24" s="142">
        <v>2</v>
      </c>
      <c r="J24" s="87">
        <v>2500</v>
      </c>
      <c r="K24" s="85" t="s">
        <v>89</v>
      </c>
      <c r="L24" s="40"/>
    </row>
    <row r="25" spans="2:12" s="38" customFormat="1" ht="13.5" customHeight="1">
      <c r="B25" s="39"/>
      <c r="C25" s="80">
        <v>40612</v>
      </c>
      <c r="D25" s="138">
        <v>1</v>
      </c>
      <c r="E25" s="5" t="s">
        <v>54</v>
      </c>
      <c r="F25" s="83" t="s">
        <v>50</v>
      </c>
      <c r="G25" s="138">
        <v>1</v>
      </c>
      <c r="H25" s="141" t="s">
        <v>51</v>
      </c>
      <c r="I25" s="142">
        <v>2</v>
      </c>
      <c r="J25" s="87">
        <v>800</v>
      </c>
      <c r="K25" s="85" t="s">
        <v>52</v>
      </c>
      <c r="L25" s="40"/>
    </row>
    <row r="26" spans="2:12" s="38" customFormat="1" ht="15.75" customHeight="1">
      <c r="B26" s="39"/>
      <c r="C26" s="153">
        <v>40591</v>
      </c>
      <c r="D26" s="158">
        <v>4</v>
      </c>
      <c r="E26" s="41" t="s">
        <v>133</v>
      </c>
      <c r="F26" s="156" t="s">
        <v>134</v>
      </c>
      <c r="G26" s="158">
        <v>1</v>
      </c>
      <c r="H26" s="159" t="s">
        <v>136</v>
      </c>
      <c r="I26" s="157">
        <v>2</v>
      </c>
      <c r="J26" s="155">
        <f>1910/1.18</f>
        <v>1618.6440677966102</v>
      </c>
      <c r="K26" s="223" t="s">
        <v>363</v>
      </c>
      <c r="L26" s="40"/>
    </row>
    <row r="27" spans="2:12" s="38" customFormat="1" ht="23.25" customHeight="1">
      <c r="B27" s="39"/>
      <c r="C27" s="80">
        <v>40591</v>
      </c>
      <c r="D27" s="138">
        <v>4</v>
      </c>
      <c r="E27" s="5" t="s">
        <v>133</v>
      </c>
      <c r="F27" s="83" t="s">
        <v>134</v>
      </c>
      <c r="G27" s="138">
        <v>4</v>
      </c>
      <c r="H27" s="141" t="s">
        <v>92</v>
      </c>
      <c r="I27" s="142">
        <v>1</v>
      </c>
      <c r="J27" s="87">
        <v>2390</v>
      </c>
      <c r="K27" s="224"/>
      <c r="L27" s="40"/>
    </row>
    <row r="28" spans="2:12" s="38" customFormat="1" ht="13.5" customHeight="1">
      <c r="B28" s="39"/>
      <c r="C28" s="143">
        <v>40623</v>
      </c>
      <c r="D28" s="144">
        <v>4</v>
      </c>
      <c r="E28" s="145" t="s">
        <v>74</v>
      </c>
      <c r="F28" s="146" t="s">
        <v>75</v>
      </c>
      <c r="G28" s="144">
        <v>1</v>
      </c>
      <c r="H28" s="147" t="s">
        <v>76</v>
      </c>
      <c r="I28" s="148">
        <v>2</v>
      </c>
      <c r="J28" s="149">
        <v>400</v>
      </c>
      <c r="K28" s="150" t="s">
        <v>83</v>
      </c>
      <c r="L28" s="40"/>
    </row>
    <row r="29" spans="2:12" ht="13.5" thickBot="1">
      <c r="B29" s="32"/>
      <c r="C29" s="221" t="s">
        <v>10</v>
      </c>
      <c r="D29" s="222"/>
      <c r="E29" s="222"/>
      <c r="F29" s="222"/>
      <c r="G29" s="222"/>
      <c r="H29" s="222"/>
      <c r="I29" s="91"/>
      <c r="J29" s="11">
        <f>SUM(J15:J28)</f>
        <v>13899.299491525424</v>
      </c>
      <c r="K29" s="12"/>
      <c r="L29" s="34"/>
    </row>
    <row r="30" spans="2:12" ht="12.75">
      <c r="B30" s="32"/>
      <c r="C30" s="113" t="s">
        <v>19</v>
      </c>
      <c r="D30" s="1"/>
      <c r="E30" s="1"/>
      <c r="F30" s="1"/>
      <c r="G30" s="1"/>
      <c r="H30" s="106"/>
      <c r="I30" s="1"/>
      <c r="J30" s="13"/>
      <c r="K30" s="13"/>
      <c r="L30" s="34"/>
    </row>
    <row r="31" spans="2:14" ht="12.75">
      <c r="B31" s="32"/>
      <c r="C31" s="114"/>
      <c r="D31" s="1"/>
      <c r="E31" s="1"/>
      <c r="F31" s="1"/>
      <c r="G31" s="1"/>
      <c r="H31" s="106"/>
      <c r="I31" s="1"/>
      <c r="J31" s="13"/>
      <c r="K31" s="13"/>
      <c r="L31" s="34"/>
      <c r="M31">
        <v>1</v>
      </c>
      <c r="N31">
        <f>+N22+'FORMATO DE GASTOS-A-2'!N18+'FORMATO DE GASTOS-A-3'!N19+'FORMATO DE GASTOS-A-4'!N16</f>
        <v>9535</v>
      </c>
    </row>
    <row r="32" spans="2:14" ht="12.75">
      <c r="B32" s="32"/>
      <c r="C32" s="109"/>
      <c r="D32" s="1"/>
      <c r="E32" s="1"/>
      <c r="F32" s="1"/>
      <c r="G32" s="1"/>
      <c r="H32" s="106"/>
      <c r="I32" s="1"/>
      <c r="J32" s="1"/>
      <c r="K32" s="1"/>
      <c r="L32" s="34"/>
      <c r="N32" s="176" t="e">
        <f>+N31+#REF!</f>
        <v>#REF!</v>
      </c>
    </row>
    <row r="33" spans="2:12" ht="12.75">
      <c r="B33" s="32"/>
      <c r="C33" s="112" t="s">
        <v>12</v>
      </c>
      <c r="D33" s="18"/>
      <c r="E33" s="24"/>
      <c r="F33" s="1"/>
      <c r="G33" s="14"/>
      <c r="H33" s="121"/>
      <c r="I33" s="14"/>
      <c r="J33" s="2"/>
      <c r="K33" s="1"/>
      <c r="L33" s="34"/>
    </row>
    <row r="34" spans="2:14" ht="12.75">
      <c r="B34" s="32"/>
      <c r="C34" s="115" t="s">
        <v>359</v>
      </c>
      <c r="D34" s="18"/>
      <c r="E34" s="1"/>
      <c r="F34" s="1"/>
      <c r="G34" s="14"/>
      <c r="H34" s="106"/>
      <c r="I34" s="1"/>
      <c r="J34" s="42"/>
      <c r="K34" s="1"/>
      <c r="L34" s="34"/>
      <c r="N34" s="177"/>
    </row>
    <row r="35" spans="2:12" ht="12.75">
      <c r="B35" s="32"/>
      <c r="C35" s="115" t="s">
        <v>360</v>
      </c>
      <c r="D35" s="18"/>
      <c r="E35" s="1"/>
      <c r="F35" s="1"/>
      <c r="G35" s="14"/>
      <c r="H35" s="106"/>
      <c r="I35" s="1"/>
      <c r="J35" s="42"/>
      <c r="K35" s="1"/>
      <c r="L35" s="34"/>
    </row>
    <row r="36" spans="2:12" ht="12.75">
      <c r="B36" s="32"/>
      <c r="C36" s="115" t="s">
        <v>361</v>
      </c>
      <c r="D36" s="18"/>
      <c r="E36" s="1"/>
      <c r="F36" s="1"/>
      <c r="G36" s="14"/>
      <c r="H36" s="106"/>
      <c r="I36" s="1"/>
      <c r="J36" s="42"/>
      <c r="K36" s="1"/>
      <c r="L36" s="34"/>
    </row>
    <row r="37" spans="2:12" ht="3" customHeight="1">
      <c r="B37" s="32"/>
      <c r="C37" s="110"/>
      <c r="D37" s="1"/>
      <c r="E37" s="1"/>
      <c r="F37" s="1"/>
      <c r="G37" s="22"/>
      <c r="H37" s="121"/>
      <c r="I37" s="14"/>
      <c r="J37" s="14"/>
      <c r="K37" s="1"/>
      <c r="L37" s="34"/>
    </row>
    <row r="38" spans="2:12" ht="12.75">
      <c r="B38" s="32"/>
      <c r="C38" s="116" t="s">
        <v>5</v>
      </c>
      <c r="D38" s="24"/>
      <c r="E38" s="24"/>
      <c r="F38" s="24"/>
      <c r="G38" s="24"/>
      <c r="H38" s="103"/>
      <c r="I38" s="24"/>
      <c r="J38" s="24"/>
      <c r="K38" s="24"/>
      <c r="L38" s="34"/>
    </row>
    <row r="39" spans="2:12" ht="12.75">
      <c r="B39" s="52"/>
      <c r="C39" s="116" t="s">
        <v>21</v>
      </c>
      <c r="D39" s="24"/>
      <c r="E39" s="24"/>
      <c r="F39" s="24"/>
      <c r="G39" s="24"/>
      <c r="H39" s="103"/>
      <c r="I39" s="24"/>
      <c r="J39" s="24"/>
      <c r="K39" s="24"/>
      <c r="L39" s="53"/>
    </row>
    <row r="40" spans="2:12" ht="4.5" customHeight="1">
      <c r="B40" s="52"/>
      <c r="C40" s="114"/>
      <c r="D40" s="24"/>
      <c r="E40" s="24"/>
      <c r="F40" s="24"/>
      <c r="G40" s="24"/>
      <c r="H40" s="103"/>
      <c r="I40" s="24"/>
      <c r="J40" s="24"/>
      <c r="K40" s="24"/>
      <c r="L40" s="53"/>
    </row>
    <row r="41" spans="2:12" ht="12.75">
      <c r="B41" s="52"/>
      <c r="C41" s="116" t="s">
        <v>2</v>
      </c>
      <c r="D41" s="24"/>
      <c r="E41" s="24"/>
      <c r="F41" s="24"/>
      <c r="G41" s="24"/>
      <c r="H41" s="103"/>
      <c r="I41" s="24"/>
      <c r="J41" s="24"/>
      <c r="K41" s="24"/>
      <c r="L41" s="53"/>
    </row>
    <row r="42" spans="2:12" ht="12.75">
      <c r="B42" s="52"/>
      <c r="C42" s="116" t="s">
        <v>22</v>
      </c>
      <c r="D42" s="24"/>
      <c r="E42" s="24"/>
      <c r="F42" s="24"/>
      <c r="G42" s="24"/>
      <c r="H42" s="103"/>
      <c r="I42" s="24"/>
      <c r="J42" s="24"/>
      <c r="K42" s="24"/>
      <c r="L42" s="53"/>
    </row>
    <row r="43" spans="2:12" ht="12.75">
      <c r="B43" s="52"/>
      <c r="C43" s="117" t="s">
        <v>26</v>
      </c>
      <c r="D43" s="24"/>
      <c r="E43" s="24"/>
      <c r="F43" s="24"/>
      <c r="G43" s="24"/>
      <c r="H43" s="103"/>
      <c r="I43" s="24"/>
      <c r="J43" s="24"/>
      <c r="K43" s="24"/>
      <c r="L43" s="53"/>
    </row>
    <row r="44" spans="2:12" ht="12.75">
      <c r="B44" s="52"/>
      <c r="C44" s="116" t="s">
        <v>23</v>
      </c>
      <c r="D44" s="24"/>
      <c r="E44" s="24"/>
      <c r="F44" s="24"/>
      <c r="G44" s="24"/>
      <c r="H44" s="103"/>
      <c r="I44" s="24"/>
      <c r="J44" s="24"/>
      <c r="K44" s="24"/>
      <c r="L44" s="53"/>
    </row>
    <row r="45" spans="2:12" ht="12.75">
      <c r="B45" s="52"/>
      <c r="C45" s="114" t="s">
        <v>27</v>
      </c>
      <c r="D45" s="24"/>
      <c r="E45" s="24"/>
      <c r="F45" s="24"/>
      <c r="G45" s="24"/>
      <c r="H45" s="103"/>
      <c r="I45" s="24"/>
      <c r="J45" s="24"/>
      <c r="K45" s="24"/>
      <c r="L45" s="53"/>
    </row>
    <row r="46" spans="2:12" ht="12.75">
      <c r="B46" s="52"/>
      <c r="C46" s="114" t="s">
        <v>29</v>
      </c>
      <c r="D46" s="24"/>
      <c r="E46" s="24"/>
      <c r="F46" s="24"/>
      <c r="G46" s="24"/>
      <c r="H46" s="103"/>
      <c r="I46" s="24"/>
      <c r="J46" s="24"/>
      <c r="K46" s="24"/>
      <c r="L46" s="53"/>
    </row>
    <row r="47" spans="2:12" ht="12.75">
      <c r="B47" s="32"/>
      <c r="C47" s="114" t="s">
        <v>39</v>
      </c>
      <c r="D47" s="24"/>
      <c r="E47" s="24"/>
      <c r="F47" s="24"/>
      <c r="G47" s="24"/>
      <c r="H47" s="103"/>
      <c r="I47" s="24"/>
      <c r="J47" s="24"/>
      <c r="K47" s="24"/>
      <c r="L47" s="34"/>
    </row>
    <row r="48" spans="2:12" ht="12.75">
      <c r="B48" s="32"/>
      <c r="C48" s="114" t="s">
        <v>28</v>
      </c>
      <c r="D48" s="24"/>
      <c r="E48" s="24"/>
      <c r="F48" s="24"/>
      <c r="G48" s="24"/>
      <c r="H48" s="103"/>
      <c r="I48" s="24"/>
      <c r="J48" s="24"/>
      <c r="K48" s="24"/>
      <c r="L48" s="34"/>
    </row>
    <row r="49" spans="2:12" ht="4.5" customHeight="1" thickBot="1">
      <c r="B49" s="35"/>
      <c r="C49" s="118"/>
      <c r="D49" s="36"/>
      <c r="E49" s="36"/>
      <c r="F49" s="21"/>
      <c r="G49" s="21"/>
      <c r="H49" s="105"/>
      <c r="I49" s="21"/>
      <c r="J49" s="21"/>
      <c r="K49" s="21"/>
      <c r="L49" s="37"/>
    </row>
  </sheetData>
  <sheetProtection/>
  <mergeCells count="17">
    <mergeCell ref="J12:J14"/>
    <mergeCell ref="K12:K14"/>
    <mergeCell ref="G13:G14"/>
    <mergeCell ref="H13:H14"/>
    <mergeCell ref="I13:I14"/>
    <mergeCell ref="C29:H29"/>
    <mergeCell ref="K26:K27"/>
    <mergeCell ref="C4:K4"/>
    <mergeCell ref="C6:K6"/>
    <mergeCell ref="I8:L8"/>
    <mergeCell ref="C11:C14"/>
    <mergeCell ref="D11:D14"/>
    <mergeCell ref="E11:F11"/>
    <mergeCell ref="G11:K11"/>
    <mergeCell ref="E12:E14"/>
    <mergeCell ref="F12:F14"/>
    <mergeCell ref="G12:H12"/>
  </mergeCells>
  <dataValidations count="7">
    <dataValidation allowBlank="1" showInputMessage="1" showErrorMessage="1" errorTitle="Error código de publicidad" error="Verifique los códigos de tipo de publicidad en la tabla CODIGO DE PUBLICIDAD&#10;&#10;&#10;" sqref="D11:D14"/>
    <dataValidation allowBlank="1" showInputMessage="1" showErrorMessage="1" errorTitle="Error en código de sustento" error="Verificar el código del documento de sustento según la tabla CODIGO DE SUSTENTO" sqref="G13:G14"/>
    <dataValidation allowBlank="1" showInputMessage="1" showErrorMessage="1" errorTitle="Error en RUC" error="Verifique que la longitud del RUC sea de 11 dígitos" sqref="F15:F28"/>
    <dataValidation type="whole" allowBlank="1" showInputMessage="1" showErrorMessage="1" sqref="I1:I5 I15:I65536 I10:I12 I7">
      <formula1>1</formula1>
      <formula2>2</formula2>
    </dataValidation>
    <dataValidation type="whole" allowBlank="1" showInputMessage="1" showErrorMessage="1" errorTitle="Error código de publicidad" error="Verifique los códigos de tipo de publicidad en la tabla CODIGO DE PUBLICIDAD&#10;&#10;&#10;" sqref="D1:D5 D15:D65536 D9:D10 D7">
      <formula1>1</formula1>
      <formula2>5</formula2>
    </dataValidation>
    <dataValidation type="decimal" operator="greaterThanOrEqual" allowBlank="1" showInputMessage="1" showErrorMessage="1" errorTitle="Error en el Importe" error="Ingresar valores numéricos y mayores de 0" sqref="J15:J28">
      <formula1>0</formula1>
    </dataValidation>
    <dataValidation type="whole" allowBlank="1" showInputMessage="1" showErrorMessage="1" errorTitle="Error en código de sustento" error="Verificar el código del documento de sustento según la tabla CODIGO DE SUSTENTO" sqref="G1:G5 G15:G65536 G9:G12 G7">
      <formula1>1</formula1>
      <formula2>4</formula2>
    </dataValidation>
  </dataValidations>
  <printOptions/>
  <pageMargins left="0" right="0" top="0.3937007874015748" bottom="0" header="0" footer="0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46"/>
  <sheetViews>
    <sheetView zoomScale="75" zoomScaleNormal="75" zoomScalePageLayoutView="0" workbookViewId="0" topLeftCell="A1">
      <selection activeCell="K42" sqref="C1:L42"/>
    </sheetView>
  </sheetViews>
  <sheetFormatPr defaultColWidth="11.421875" defaultRowHeight="12.75"/>
  <cols>
    <col min="1" max="1" width="1.421875" style="0" customWidth="1"/>
    <col min="2" max="2" width="0.71875" style="0" customWidth="1"/>
    <col min="3" max="3" width="12.7109375" style="107" customWidth="1"/>
    <col min="4" max="4" width="13.8515625" style="0" customWidth="1"/>
    <col min="5" max="5" width="31.28125" style="0" customWidth="1"/>
    <col min="6" max="6" width="12.00390625" style="0" customWidth="1"/>
    <col min="7" max="7" width="11.140625" style="0" customWidth="1"/>
    <col min="8" max="8" width="10.28125" style="119" customWidth="1"/>
    <col min="9" max="9" width="14.7109375" style="0" customWidth="1"/>
    <col min="10" max="10" width="12.421875" style="0" customWidth="1"/>
    <col min="11" max="11" width="46.57421875" style="0" customWidth="1"/>
    <col min="12" max="12" width="0.85546875" style="0" customWidth="1"/>
    <col min="15" max="15" width="104.57421875" style="0" customWidth="1"/>
  </cols>
  <sheetData>
    <row r="1" ht="7.5" customHeight="1" thickBot="1"/>
    <row r="2" spans="2:12" ht="12.75">
      <c r="B2" s="27"/>
      <c r="C2" s="108" t="s">
        <v>42</v>
      </c>
      <c r="D2" s="29"/>
      <c r="E2" s="28"/>
      <c r="F2" s="28"/>
      <c r="G2" s="28"/>
      <c r="H2" s="120"/>
      <c r="I2" s="28"/>
      <c r="J2" s="29"/>
      <c r="K2" s="30" t="s">
        <v>45</v>
      </c>
      <c r="L2" s="31"/>
    </row>
    <row r="3" spans="2:12" ht="7.5" customHeight="1">
      <c r="B3" s="32"/>
      <c r="C3" s="109"/>
      <c r="D3" s="2"/>
      <c r="E3" s="1"/>
      <c r="F3" s="1"/>
      <c r="G3" s="1"/>
      <c r="H3" s="106"/>
      <c r="I3" s="1"/>
      <c r="J3" s="1"/>
      <c r="K3" s="1"/>
      <c r="L3" s="33"/>
    </row>
    <row r="4" spans="2:12" s="78" customFormat="1" ht="12" customHeight="1">
      <c r="B4" s="77"/>
      <c r="C4" s="191" t="s">
        <v>18</v>
      </c>
      <c r="D4" s="192"/>
      <c r="E4" s="192"/>
      <c r="F4" s="192"/>
      <c r="G4" s="192"/>
      <c r="H4" s="192"/>
      <c r="I4" s="192"/>
      <c r="J4" s="192"/>
      <c r="K4" s="193"/>
      <c r="L4" s="93"/>
    </row>
    <row r="5" spans="2:12" ht="7.5" customHeight="1">
      <c r="B5" s="32"/>
      <c r="C5" s="110"/>
      <c r="D5" s="14"/>
      <c r="E5" s="14"/>
      <c r="F5" s="14"/>
      <c r="G5" s="14"/>
      <c r="H5" s="121"/>
      <c r="I5" s="14"/>
      <c r="J5" s="14"/>
      <c r="K5" s="14"/>
      <c r="L5" s="33"/>
    </row>
    <row r="6" spans="2:12" ht="10.5" customHeight="1">
      <c r="B6" s="32"/>
      <c r="C6" s="194" t="s">
        <v>362</v>
      </c>
      <c r="D6" s="194"/>
      <c r="E6" s="194"/>
      <c r="F6" s="194"/>
      <c r="G6" s="194"/>
      <c r="H6" s="194"/>
      <c r="I6" s="194"/>
      <c r="J6" s="194"/>
      <c r="K6" s="194"/>
      <c r="L6" s="33"/>
    </row>
    <row r="7" spans="2:12" ht="12.75">
      <c r="B7" s="32"/>
      <c r="C7" s="111"/>
      <c r="D7" s="26"/>
      <c r="E7" s="26"/>
      <c r="F7" s="26"/>
      <c r="G7" s="26"/>
      <c r="H7" s="96"/>
      <c r="I7" s="26"/>
      <c r="J7" s="26"/>
      <c r="K7" s="26"/>
      <c r="L7" s="33"/>
    </row>
    <row r="8" spans="2:12" ht="12.75">
      <c r="B8" s="32"/>
      <c r="C8" s="112" t="s">
        <v>47</v>
      </c>
      <c r="D8" s="26"/>
      <c r="E8" s="26"/>
      <c r="F8" s="92"/>
      <c r="G8" s="14"/>
      <c r="H8" s="121"/>
      <c r="I8" s="195" t="s">
        <v>49</v>
      </c>
      <c r="J8" s="196"/>
      <c r="K8" s="196"/>
      <c r="L8" s="197"/>
    </row>
    <row r="9" spans="2:12" ht="12.75">
      <c r="B9" s="32"/>
      <c r="C9" s="112" t="s">
        <v>48</v>
      </c>
      <c r="D9" s="26"/>
      <c r="E9" s="26"/>
      <c r="F9" s="26"/>
      <c r="G9" s="26"/>
      <c r="H9" s="121"/>
      <c r="I9" s="14"/>
      <c r="J9" s="14"/>
      <c r="K9" s="14"/>
      <c r="L9" s="53"/>
    </row>
    <row r="10" spans="2:12" ht="11.25" customHeight="1" thickBot="1">
      <c r="B10" s="32"/>
      <c r="C10" s="109"/>
      <c r="D10" s="1"/>
      <c r="E10" s="1"/>
      <c r="F10" s="1"/>
      <c r="G10" s="1"/>
      <c r="H10" s="106"/>
      <c r="I10" s="1"/>
      <c r="J10" s="1"/>
      <c r="K10" s="1"/>
      <c r="L10" s="33"/>
    </row>
    <row r="11" spans="2:12" ht="19.5" customHeight="1" thickBot="1">
      <c r="B11" s="32"/>
      <c r="C11" s="198" t="s">
        <v>14</v>
      </c>
      <c r="D11" s="201" t="s">
        <v>44</v>
      </c>
      <c r="E11" s="204" t="s">
        <v>5</v>
      </c>
      <c r="F11" s="205"/>
      <c r="G11" s="206" t="s">
        <v>2</v>
      </c>
      <c r="H11" s="207"/>
      <c r="I11" s="207"/>
      <c r="J11" s="207"/>
      <c r="K11" s="205"/>
      <c r="L11" s="34"/>
    </row>
    <row r="12" spans="2:12" ht="27" customHeight="1" thickBot="1">
      <c r="B12" s="32"/>
      <c r="C12" s="199"/>
      <c r="D12" s="202"/>
      <c r="E12" s="208" t="s">
        <v>40</v>
      </c>
      <c r="F12" s="211" t="s">
        <v>13</v>
      </c>
      <c r="G12" s="214" t="s">
        <v>3</v>
      </c>
      <c r="H12" s="215"/>
      <c r="I12" s="124" t="s">
        <v>25</v>
      </c>
      <c r="J12" s="211" t="s">
        <v>38</v>
      </c>
      <c r="K12" s="209" t="s">
        <v>16</v>
      </c>
      <c r="L12" s="34"/>
    </row>
    <row r="13" spans="2:12" ht="18" customHeight="1">
      <c r="B13" s="32"/>
      <c r="C13" s="199"/>
      <c r="D13" s="202"/>
      <c r="E13" s="209"/>
      <c r="F13" s="212"/>
      <c r="G13" s="216" t="s">
        <v>37</v>
      </c>
      <c r="H13" s="218" t="s">
        <v>24</v>
      </c>
      <c r="I13" s="220" t="s">
        <v>36</v>
      </c>
      <c r="J13" s="212"/>
      <c r="K13" s="209"/>
      <c r="L13" s="34"/>
    </row>
    <row r="14" spans="2:12" ht="28.5" customHeight="1" thickBot="1">
      <c r="B14" s="32"/>
      <c r="C14" s="200"/>
      <c r="D14" s="203"/>
      <c r="E14" s="210"/>
      <c r="F14" s="213"/>
      <c r="G14" s="217"/>
      <c r="H14" s="219"/>
      <c r="I14" s="217"/>
      <c r="J14" s="213"/>
      <c r="K14" s="210"/>
      <c r="L14" s="34"/>
    </row>
    <row r="15" spans="2:12" s="38" customFormat="1" ht="15.75" customHeight="1">
      <c r="B15" s="39"/>
      <c r="C15" s="80">
        <v>40599</v>
      </c>
      <c r="D15" s="138">
        <v>4</v>
      </c>
      <c r="E15" s="5" t="s">
        <v>140</v>
      </c>
      <c r="F15" s="83" t="s">
        <v>141</v>
      </c>
      <c r="G15" s="138">
        <v>1</v>
      </c>
      <c r="H15" s="141" t="s">
        <v>142</v>
      </c>
      <c r="I15" s="142">
        <v>2</v>
      </c>
      <c r="J15" s="87">
        <f>630/1.18</f>
        <v>533.8983050847457</v>
      </c>
      <c r="K15" s="85" t="s">
        <v>143</v>
      </c>
      <c r="L15" s="40"/>
    </row>
    <row r="16" spans="2:12" s="38" customFormat="1" ht="15.75" customHeight="1">
      <c r="B16" s="39"/>
      <c r="C16" s="143">
        <v>40599</v>
      </c>
      <c r="D16" s="144">
        <v>4</v>
      </c>
      <c r="E16" s="145" t="s">
        <v>140</v>
      </c>
      <c r="F16" s="83" t="s">
        <v>141</v>
      </c>
      <c r="G16" s="144">
        <v>1</v>
      </c>
      <c r="H16" s="147" t="s">
        <v>144</v>
      </c>
      <c r="I16" s="148">
        <v>2</v>
      </c>
      <c r="J16" s="149">
        <f>125.9/1.18</f>
        <v>106.6949152542373</v>
      </c>
      <c r="K16" s="150" t="s">
        <v>145</v>
      </c>
      <c r="L16" s="40"/>
    </row>
    <row r="17" spans="2:12" s="38" customFormat="1" ht="15.75" customHeight="1">
      <c r="B17" s="39"/>
      <c r="C17" s="143">
        <v>40602</v>
      </c>
      <c r="D17" s="144">
        <v>4</v>
      </c>
      <c r="E17" s="145" t="s">
        <v>146</v>
      </c>
      <c r="F17" s="83" t="s">
        <v>147</v>
      </c>
      <c r="G17" s="144">
        <v>2</v>
      </c>
      <c r="H17" s="147" t="s">
        <v>148</v>
      </c>
      <c r="I17" s="148">
        <v>2</v>
      </c>
      <c r="J17" s="149">
        <v>450</v>
      </c>
      <c r="K17" s="150" t="s">
        <v>149</v>
      </c>
      <c r="L17" s="40"/>
    </row>
    <row r="18" spans="2:14" s="38" customFormat="1" ht="15.75" customHeight="1">
      <c r="B18" s="39"/>
      <c r="C18" s="143">
        <v>40602</v>
      </c>
      <c r="D18" s="144">
        <v>4</v>
      </c>
      <c r="E18" s="145" t="s">
        <v>107</v>
      </c>
      <c r="F18" s="146" t="s">
        <v>108</v>
      </c>
      <c r="G18" s="144">
        <v>1</v>
      </c>
      <c r="H18" s="147" t="s">
        <v>116</v>
      </c>
      <c r="I18" s="148">
        <v>2</v>
      </c>
      <c r="J18" s="149">
        <f>52/1.18</f>
        <v>44.067796610169495</v>
      </c>
      <c r="K18" s="150" t="s">
        <v>117</v>
      </c>
      <c r="L18" s="40"/>
      <c r="M18" s="38">
        <v>1</v>
      </c>
      <c r="N18" s="38">
        <f>+SUMIF(I15:I24,1,J15:J24)</f>
        <v>0</v>
      </c>
    </row>
    <row r="19" spans="2:14" s="38" customFormat="1" ht="15.75" customHeight="1">
      <c r="B19" s="39"/>
      <c r="C19" s="80">
        <v>40602</v>
      </c>
      <c r="D19" s="138">
        <v>4</v>
      </c>
      <c r="E19" s="5" t="s">
        <v>107</v>
      </c>
      <c r="F19" s="83" t="s">
        <v>108</v>
      </c>
      <c r="G19" s="138">
        <v>1</v>
      </c>
      <c r="H19" s="141" t="s">
        <v>118</v>
      </c>
      <c r="I19" s="142">
        <v>2</v>
      </c>
      <c r="J19" s="87">
        <f>200/1.18</f>
        <v>169.49152542372883</v>
      </c>
      <c r="K19" s="85" t="s">
        <v>119</v>
      </c>
      <c r="L19" s="40"/>
      <c r="M19" s="38">
        <v>2</v>
      </c>
      <c r="N19" s="38">
        <f>+SUMIF(I15:I24,2,J15:J24)</f>
        <v>2725.084745762712</v>
      </c>
    </row>
    <row r="20" spans="2:12" s="38" customFormat="1" ht="15.75" customHeight="1">
      <c r="B20" s="39"/>
      <c r="C20" s="80">
        <v>40602</v>
      </c>
      <c r="D20" s="138">
        <v>4</v>
      </c>
      <c r="E20" s="5" t="s">
        <v>107</v>
      </c>
      <c r="F20" s="83" t="s">
        <v>108</v>
      </c>
      <c r="G20" s="138">
        <v>1</v>
      </c>
      <c r="H20" s="141" t="s">
        <v>120</v>
      </c>
      <c r="I20" s="142">
        <v>2</v>
      </c>
      <c r="J20" s="87">
        <f>200/1.18</f>
        <v>169.49152542372883</v>
      </c>
      <c r="K20" s="85" t="s">
        <v>121</v>
      </c>
      <c r="L20" s="40"/>
    </row>
    <row r="21" spans="2:12" s="38" customFormat="1" ht="15.75" customHeight="1">
      <c r="B21" s="39"/>
      <c r="C21" s="80">
        <v>40604</v>
      </c>
      <c r="D21" s="138">
        <v>4</v>
      </c>
      <c r="E21" s="5" t="s">
        <v>154</v>
      </c>
      <c r="F21" s="83" t="s">
        <v>155</v>
      </c>
      <c r="G21" s="138">
        <v>3</v>
      </c>
      <c r="H21" s="141" t="s">
        <v>289</v>
      </c>
      <c r="I21" s="142">
        <v>2</v>
      </c>
      <c r="J21" s="87">
        <v>500</v>
      </c>
      <c r="K21" s="85" t="s">
        <v>156</v>
      </c>
      <c r="L21" s="40"/>
    </row>
    <row r="22" spans="2:12" s="38" customFormat="1" ht="15.75" customHeight="1">
      <c r="B22" s="39"/>
      <c r="C22" s="80">
        <v>40604</v>
      </c>
      <c r="D22" s="138">
        <v>4</v>
      </c>
      <c r="E22" s="5" t="s">
        <v>154</v>
      </c>
      <c r="F22" s="83" t="s">
        <v>155</v>
      </c>
      <c r="G22" s="138">
        <v>3</v>
      </c>
      <c r="H22" s="141" t="s">
        <v>290</v>
      </c>
      <c r="I22" s="142">
        <v>2</v>
      </c>
      <c r="J22" s="87">
        <v>500</v>
      </c>
      <c r="K22" s="85" t="s">
        <v>156</v>
      </c>
      <c r="L22" s="40"/>
    </row>
    <row r="23" spans="2:12" s="38" customFormat="1" ht="13.5" customHeight="1">
      <c r="B23" s="39"/>
      <c r="C23" s="80">
        <v>40606</v>
      </c>
      <c r="D23" s="138">
        <v>4</v>
      </c>
      <c r="E23" s="5" t="s">
        <v>107</v>
      </c>
      <c r="F23" s="83" t="s">
        <v>108</v>
      </c>
      <c r="G23" s="138">
        <v>1</v>
      </c>
      <c r="H23" s="141" t="s">
        <v>122</v>
      </c>
      <c r="I23" s="142">
        <v>2</v>
      </c>
      <c r="J23" s="87">
        <f>276/1.18</f>
        <v>233.89830508474577</v>
      </c>
      <c r="K23" s="85" t="s">
        <v>123</v>
      </c>
      <c r="L23" s="40"/>
    </row>
    <row r="24" spans="2:12" s="38" customFormat="1" ht="13.5" customHeight="1">
      <c r="B24" s="39"/>
      <c r="C24" s="80">
        <v>40607</v>
      </c>
      <c r="D24" s="138">
        <v>4</v>
      </c>
      <c r="E24" s="5" t="s">
        <v>140</v>
      </c>
      <c r="F24" s="83" t="s">
        <v>141</v>
      </c>
      <c r="G24" s="138">
        <v>1</v>
      </c>
      <c r="H24" s="141" t="s">
        <v>144</v>
      </c>
      <c r="I24" s="142">
        <v>2</v>
      </c>
      <c r="J24" s="87">
        <f>20.7/1.18</f>
        <v>17.54237288135593</v>
      </c>
      <c r="K24" s="85" t="s">
        <v>145</v>
      </c>
      <c r="L24" s="40"/>
    </row>
    <row r="25" spans="2:12" ht="13.5" thickBot="1">
      <c r="B25" s="32"/>
      <c r="C25" s="221" t="s">
        <v>10</v>
      </c>
      <c r="D25" s="222"/>
      <c r="E25" s="222"/>
      <c r="F25" s="222"/>
      <c r="G25" s="222"/>
      <c r="H25" s="222"/>
      <c r="I25" s="91"/>
      <c r="J25" s="11">
        <f>SUM(J15:J24)</f>
        <v>2725.084745762712</v>
      </c>
      <c r="K25" s="12"/>
      <c r="L25" s="34"/>
    </row>
    <row r="26" spans="2:12" ht="12.75">
      <c r="B26" s="32"/>
      <c r="C26" s="113" t="s">
        <v>19</v>
      </c>
      <c r="D26" s="1"/>
      <c r="E26" s="1"/>
      <c r="F26" s="1"/>
      <c r="G26" s="1"/>
      <c r="H26" s="106"/>
      <c r="I26" s="1"/>
      <c r="J26" s="13"/>
      <c r="K26" s="13"/>
      <c r="L26" s="34"/>
    </row>
    <row r="27" spans="2:12" ht="15.75" customHeight="1">
      <c r="B27" s="32"/>
      <c r="C27" s="114"/>
      <c r="D27" s="1"/>
      <c r="E27" s="1"/>
      <c r="F27" s="1"/>
      <c r="G27" s="1"/>
      <c r="H27" s="106"/>
      <c r="I27" s="1"/>
      <c r="J27" s="13"/>
      <c r="K27" s="13"/>
      <c r="L27" s="34"/>
    </row>
    <row r="28" spans="2:12" ht="12.75">
      <c r="B28" s="32"/>
      <c r="C28" s="109"/>
      <c r="D28" s="1"/>
      <c r="E28" s="1"/>
      <c r="F28" s="1"/>
      <c r="G28" s="1"/>
      <c r="H28" s="106"/>
      <c r="I28" s="1"/>
      <c r="J28" s="1"/>
      <c r="K28" s="1"/>
      <c r="L28" s="34"/>
    </row>
    <row r="29" spans="2:12" ht="12.75">
      <c r="B29" s="32"/>
      <c r="C29" s="109"/>
      <c r="D29" s="1"/>
      <c r="E29" s="1"/>
      <c r="F29" s="1"/>
      <c r="G29" s="1"/>
      <c r="H29" s="106"/>
      <c r="I29" s="1"/>
      <c r="J29" s="1"/>
      <c r="K29" s="1"/>
      <c r="L29" s="34"/>
    </row>
    <row r="30" spans="2:12" ht="12.75">
      <c r="B30" s="32"/>
      <c r="C30" s="112" t="s">
        <v>12</v>
      </c>
      <c r="D30" s="18"/>
      <c r="E30" s="24"/>
      <c r="F30" s="1"/>
      <c r="G30" s="14"/>
      <c r="H30" s="121"/>
      <c r="I30" s="14"/>
      <c r="J30" s="2"/>
      <c r="K30" s="1"/>
      <c r="L30" s="34"/>
    </row>
    <row r="31" spans="2:12" ht="12.75">
      <c r="B31" s="32"/>
      <c r="C31" s="115" t="s">
        <v>359</v>
      </c>
      <c r="D31" s="18"/>
      <c r="E31" s="1"/>
      <c r="F31" s="1"/>
      <c r="G31" s="14"/>
      <c r="H31" s="106"/>
      <c r="I31" s="1"/>
      <c r="J31" s="42"/>
      <c r="K31" s="1"/>
      <c r="L31" s="34"/>
    </row>
    <row r="32" spans="2:12" ht="12.75">
      <c r="B32" s="32"/>
      <c r="C32" s="115" t="s">
        <v>360</v>
      </c>
      <c r="D32" s="18"/>
      <c r="E32" s="1"/>
      <c r="F32" s="1"/>
      <c r="G32" s="14"/>
      <c r="H32" s="106"/>
      <c r="I32" s="1"/>
      <c r="J32" s="42"/>
      <c r="K32" s="1"/>
      <c r="L32" s="34"/>
    </row>
    <row r="33" spans="2:12" ht="12.75">
      <c r="B33" s="32"/>
      <c r="C33" s="115" t="s">
        <v>361</v>
      </c>
      <c r="D33" s="18"/>
      <c r="E33" s="1"/>
      <c r="F33" s="1"/>
      <c r="G33" s="14"/>
      <c r="H33" s="106"/>
      <c r="I33" s="1"/>
      <c r="J33" s="42"/>
      <c r="K33" s="1"/>
      <c r="L33" s="34"/>
    </row>
    <row r="34" spans="2:12" ht="3" customHeight="1">
      <c r="B34" s="32"/>
      <c r="C34" s="110"/>
      <c r="D34" s="1"/>
      <c r="E34" s="1"/>
      <c r="F34" s="1"/>
      <c r="G34" s="22"/>
      <c r="H34" s="121"/>
      <c r="I34" s="14"/>
      <c r="J34" s="14"/>
      <c r="K34" s="1"/>
      <c r="L34" s="34"/>
    </row>
    <row r="35" spans="2:12" ht="12.75">
      <c r="B35" s="32"/>
      <c r="C35" s="116" t="s">
        <v>5</v>
      </c>
      <c r="D35" s="24"/>
      <c r="E35" s="24"/>
      <c r="F35" s="24"/>
      <c r="G35" s="24"/>
      <c r="H35" s="103"/>
      <c r="I35" s="24"/>
      <c r="J35" s="24"/>
      <c r="K35" s="24"/>
      <c r="L35" s="34"/>
    </row>
    <row r="36" spans="2:12" ht="12.75">
      <c r="B36" s="52"/>
      <c r="C36" s="116" t="s">
        <v>21</v>
      </c>
      <c r="D36" s="24"/>
      <c r="E36" s="24"/>
      <c r="F36" s="24"/>
      <c r="G36" s="24"/>
      <c r="H36" s="103"/>
      <c r="I36" s="24"/>
      <c r="J36" s="24"/>
      <c r="K36" s="24"/>
      <c r="L36" s="53"/>
    </row>
    <row r="37" spans="2:12" ht="4.5" customHeight="1">
      <c r="B37" s="52"/>
      <c r="C37" s="114"/>
      <c r="D37" s="24"/>
      <c r="E37" s="24"/>
      <c r="F37" s="24"/>
      <c r="G37" s="24"/>
      <c r="H37" s="103"/>
      <c r="I37" s="24"/>
      <c r="J37" s="24"/>
      <c r="K37" s="24"/>
      <c r="L37" s="53"/>
    </row>
    <row r="38" spans="2:12" ht="12.75">
      <c r="B38" s="52"/>
      <c r="C38" s="116" t="s">
        <v>2</v>
      </c>
      <c r="D38" s="24"/>
      <c r="E38" s="24"/>
      <c r="F38" s="24"/>
      <c r="G38" s="24"/>
      <c r="H38" s="103"/>
      <c r="I38" s="24"/>
      <c r="J38" s="24"/>
      <c r="K38" s="24"/>
      <c r="L38" s="53"/>
    </row>
    <row r="39" spans="2:12" ht="12.75">
      <c r="B39" s="52"/>
      <c r="C39" s="116" t="s">
        <v>22</v>
      </c>
      <c r="D39" s="24"/>
      <c r="E39" s="24"/>
      <c r="F39" s="24"/>
      <c r="G39" s="24"/>
      <c r="H39" s="103"/>
      <c r="I39" s="24"/>
      <c r="J39" s="24"/>
      <c r="K39" s="24"/>
      <c r="L39" s="53"/>
    </row>
    <row r="40" spans="2:12" ht="12.75">
      <c r="B40" s="52"/>
      <c r="C40" s="117" t="s">
        <v>26</v>
      </c>
      <c r="D40" s="24"/>
      <c r="E40" s="24"/>
      <c r="F40" s="24"/>
      <c r="G40" s="24"/>
      <c r="H40" s="103"/>
      <c r="I40" s="24"/>
      <c r="J40" s="24"/>
      <c r="K40" s="24"/>
      <c r="L40" s="53"/>
    </row>
    <row r="41" spans="2:12" ht="12.75">
      <c r="B41" s="52"/>
      <c r="C41" s="116" t="s">
        <v>23</v>
      </c>
      <c r="D41" s="24"/>
      <c r="E41" s="24"/>
      <c r="F41" s="24"/>
      <c r="G41" s="24"/>
      <c r="H41" s="103"/>
      <c r="I41" s="24"/>
      <c r="J41" s="24"/>
      <c r="K41" s="24"/>
      <c r="L41" s="53"/>
    </row>
    <row r="42" spans="2:12" ht="12.75">
      <c r="B42" s="52"/>
      <c r="C42" s="114" t="s">
        <v>27</v>
      </c>
      <c r="D42" s="24"/>
      <c r="E42" s="24"/>
      <c r="F42" s="24"/>
      <c r="G42" s="24"/>
      <c r="H42" s="103"/>
      <c r="I42" s="24"/>
      <c r="J42" s="24"/>
      <c r="K42" s="24"/>
      <c r="L42" s="53"/>
    </row>
    <row r="43" spans="2:12" ht="12.75">
      <c r="B43" s="52"/>
      <c r="C43" s="114" t="s">
        <v>29</v>
      </c>
      <c r="D43" s="24"/>
      <c r="E43" s="24"/>
      <c r="F43" s="24"/>
      <c r="G43" s="24"/>
      <c r="H43" s="103"/>
      <c r="I43" s="24"/>
      <c r="J43" s="24"/>
      <c r="K43" s="24"/>
      <c r="L43" s="53"/>
    </row>
    <row r="44" spans="2:12" ht="12.75">
      <c r="B44" s="32"/>
      <c r="C44" s="114" t="s">
        <v>39</v>
      </c>
      <c r="D44" s="24"/>
      <c r="E44" s="24"/>
      <c r="F44" s="24"/>
      <c r="G44" s="24"/>
      <c r="H44" s="103"/>
      <c r="I44" s="24"/>
      <c r="J44" s="24"/>
      <c r="K44" s="24"/>
      <c r="L44" s="34"/>
    </row>
    <row r="45" spans="2:12" ht="12.75">
      <c r="B45" s="32"/>
      <c r="C45" s="114" t="s">
        <v>28</v>
      </c>
      <c r="D45" s="24"/>
      <c r="E45" s="24"/>
      <c r="F45" s="24"/>
      <c r="G45" s="24"/>
      <c r="H45" s="103"/>
      <c r="I45" s="24"/>
      <c r="J45" s="24"/>
      <c r="K45" s="24"/>
      <c r="L45" s="34"/>
    </row>
    <row r="46" spans="2:12" ht="9.75" customHeight="1" thickBot="1">
      <c r="B46" s="35"/>
      <c r="C46" s="118"/>
      <c r="D46" s="36"/>
      <c r="E46" s="36"/>
      <c r="F46" s="21"/>
      <c r="G46" s="21"/>
      <c r="H46" s="105"/>
      <c r="I46" s="21"/>
      <c r="J46" s="21"/>
      <c r="K46" s="21"/>
      <c r="L46" s="37"/>
    </row>
  </sheetData>
  <sheetProtection/>
  <mergeCells count="16">
    <mergeCell ref="J12:J14"/>
    <mergeCell ref="K12:K14"/>
    <mergeCell ref="G13:G14"/>
    <mergeCell ref="H13:H14"/>
    <mergeCell ref="I13:I14"/>
    <mergeCell ref="C25:H25"/>
    <mergeCell ref="C4:K4"/>
    <mergeCell ref="C6:K6"/>
    <mergeCell ref="I8:L8"/>
    <mergeCell ref="C11:C14"/>
    <mergeCell ref="D11:D14"/>
    <mergeCell ref="E11:F11"/>
    <mergeCell ref="G11:K11"/>
    <mergeCell ref="E12:E14"/>
    <mergeCell ref="F12:F14"/>
    <mergeCell ref="G12:H12"/>
  </mergeCells>
  <dataValidations count="7">
    <dataValidation type="whole" allowBlank="1" showInputMessage="1" showErrorMessage="1" errorTitle="Error en código de sustento" error="Verificar el código del documento de sustento según la tabla CODIGO DE SUSTENTO" sqref="G1:G5 G9:G12 G7 G15:G65536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J15:J24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D1:D5 D9:D10 D7 D15:D65536">
      <formula1>1</formula1>
      <formula2>5</formula2>
    </dataValidation>
    <dataValidation type="whole" allowBlank="1" showInputMessage="1" showErrorMessage="1" sqref="I1:I5 I10:I12 I7 I15:I65536">
      <formula1>1</formula1>
      <formula2>2</formula2>
    </dataValidation>
    <dataValidation allowBlank="1" showInputMessage="1" showErrorMessage="1" errorTitle="Error en RUC" error="Verifique que la longitud del RUC sea de 11 dígitos" sqref="F15:F24"/>
    <dataValidation allowBlank="1" showInputMessage="1" showErrorMessage="1" errorTitle="Error en código de sustento" error="Verificar el código del documento de sustento según la tabla CODIGO DE SUSTENTO" sqref="G13:G14"/>
    <dataValidation allowBlank="1" showInputMessage="1" showErrorMessage="1" errorTitle="Error código de publicidad" error="Verifique los códigos de tipo de publicidad en la tabla CODIGO DE PUBLICIDAD&#10;&#10;&#10;" sqref="D11:D14"/>
  </dataValidations>
  <printOptions/>
  <pageMargins left="0" right="0" top="0.5118110236220472" bottom="0" header="0" footer="0"/>
  <pageSetup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55"/>
  <sheetViews>
    <sheetView zoomScale="75" zoomScaleNormal="75" zoomScalePageLayoutView="0" workbookViewId="0" topLeftCell="A1">
      <selection activeCell="D8" sqref="D8"/>
    </sheetView>
  </sheetViews>
  <sheetFormatPr defaultColWidth="11.421875" defaultRowHeight="12.75"/>
  <cols>
    <col min="1" max="1" width="0.9921875" style="0" customWidth="1"/>
    <col min="2" max="2" width="1.28515625" style="0" customWidth="1"/>
    <col min="3" max="3" width="10.57421875" style="107" customWidth="1"/>
    <col min="4" max="4" width="14.57421875" style="0" customWidth="1"/>
    <col min="5" max="5" width="39.57421875" style="0" customWidth="1"/>
    <col min="6" max="6" width="12.57421875" style="0" customWidth="1"/>
    <col min="7" max="7" width="11.140625" style="0" customWidth="1"/>
    <col min="8" max="8" width="8.421875" style="119" customWidth="1"/>
    <col min="9" max="9" width="14.140625" style="0" customWidth="1"/>
    <col min="10" max="10" width="13.421875" style="0" customWidth="1"/>
    <col min="11" max="11" width="39.421875" style="0" customWidth="1"/>
    <col min="12" max="12" width="1.28515625" style="0" customWidth="1"/>
    <col min="15" max="15" width="104.57421875" style="0" customWidth="1"/>
  </cols>
  <sheetData>
    <row r="1" ht="7.5" customHeight="1" thickBot="1"/>
    <row r="2" spans="2:12" ht="12.75">
      <c r="B2" s="27"/>
      <c r="C2" s="108" t="s">
        <v>42</v>
      </c>
      <c r="D2" s="29"/>
      <c r="E2" s="28"/>
      <c r="F2" s="28"/>
      <c r="G2" s="28"/>
      <c r="H2" s="120"/>
      <c r="I2" s="28"/>
      <c r="J2" s="29"/>
      <c r="K2" s="30" t="s">
        <v>45</v>
      </c>
      <c r="L2" s="31"/>
    </row>
    <row r="3" spans="2:12" ht="5.25" customHeight="1">
      <c r="B3" s="32"/>
      <c r="C3" s="109"/>
      <c r="D3" s="2"/>
      <c r="E3" s="1"/>
      <c r="F3" s="1"/>
      <c r="G3" s="1"/>
      <c r="H3" s="106"/>
      <c r="I3" s="1"/>
      <c r="J3" s="1"/>
      <c r="K3" s="1"/>
      <c r="L3" s="33"/>
    </row>
    <row r="4" spans="2:12" s="78" customFormat="1" ht="15.75" customHeight="1">
      <c r="B4" s="77"/>
      <c r="C4" s="191" t="s">
        <v>18</v>
      </c>
      <c r="D4" s="192"/>
      <c r="E4" s="192"/>
      <c r="F4" s="192"/>
      <c r="G4" s="192"/>
      <c r="H4" s="192"/>
      <c r="I4" s="192"/>
      <c r="J4" s="192"/>
      <c r="K4" s="193"/>
      <c r="L4" s="93"/>
    </row>
    <row r="5" spans="2:12" ht="3" customHeight="1">
      <c r="B5" s="32"/>
      <c r="C5" s="110"/>
      <c r="D5" s="14"/>
      <c r="E5" s="14"/>
      <c r="F5" s="14"/>
      <c r="G5" s="14"/>
      <c r="H5" s="121"/>
      <c r="I5" s="14"/>
      <c r="J5" s="14"/>
      <c r="K5" s="14"/>
      <c r="L5" s="33"/>
    </row>
    <row r="6" spans="2:12" ht="12.75" customHeight="1">
      <c r="B6" s="32"/>
      <c r="C6" s="194" t="s">
        <v>362</v>
      </c>
      <c r="D6" s="194"/>
      <c r="E6" s="194"/>
      <c r="F6" s="194"/>
      <c r="G6" s="194"/>
      <c r="H6" s="194"/>
      <c r="I6" s="194"/>
      <c r="J6" s="194"/>
      <c r="K6" s="194"/>
      <c r="L6" s="33"/>
    </row>
    <row r="7" spans="2:12" ht="5.25" customHeight="1">
      <c r="B7" s="32"/>
      <c r="C7" s="111"/>
      <c r="D7" s="26"/>
      <c r="E7" s="26"/>
      <c r="F7" s="26"/>
      <c r="G7" s="26"/>
      <c r="H7" s="96"/>
      <c r="I7" s="26"/>
      <c r="J7" s="26"/>
      <c r="K7" s="26"/>
      <c r="L7" s="33"/>
    </row>
    <row r="8" spans="2:12" ht="12.75">
      <c r="B8" s="32"/>
      <c r="C8" s="112" t="s">
        <v>47</v>
      </c>
      <c r="D8" s="26"/>
      <c r="E8" s="26"/>
      <c r="F8" s="92"/>
      <c r="G8" s="14"/>
      <c r="H8" s="121"/>
      <c r="I8" s="195" t="s">
        <v>49</v>
      </c>
      <c r="J8" s="196"/>
      <c r="K8" s="196"/>
      <c r="L8" s="197"/>
    </row>
    <row r="9" spans="2:12" ht="12.75">
      <c r="B9" s="32"/>
      <c r="C9" s="112" t="s">
        <v>48</v>
      </c>
      <c r="D9" s="26"/>
      <c r="E9" s="26"/>
      <c r="F9" s="26"/>
      <c r="G9" s="26"/>
      <c r="H9" s="121"/>
      <c r="I9" s="14"/>
      <c r="J9" s="14"/>
      <c r="K9" s="14"/>
      <c r="L9" s="53"/>
    </row>
    <row r="10" spans="2:12" ht="6" customHeight="1" thickBot="1">
      <c r="B10" s="32"/>
      <c r="C10" s="109"/>
      <c r="D10" s="1"/>
      <c r="E10" s="1"/>
      <c r="F10" s="1"/>
      <c r="G10" s="1"/>
      <c r="H10" s="106"/>
      <c r="I10" s="1"/>
      <c r="J10" s="1"/>
      <c r="K10" s="1"/>
      <c r="L10" s="33"/>
    </row>
    <row r="11" spans="2:12" ht="19.5" customHeight="1" thickBot="1">
      <c r="B11" s="32"/>
      <c r="C11" s="198" t="s">
        <v>14</v>
      </c>
      <c r="D11" s="201" t="s">
        <v>44</v>
      </c>
      <c r="E11" s="204" t="s">
        <v>5</v>
      </c>
      <c r="F11" s="205"/>
      <c r="G11" s="206" t="s">
        <v>2</v>
      </c>
      <c r="H11" s="207"/>
      <c r="I11" s="207"/>
      <c r="J11" s="207"/>
      <c r="K11" s="205"/>
      <c r="L11" s="34"/>
    </row>
    <row r="12" spans="2:12" ht="27" customHeight="1" thickBot="1">
      <c r="B12" s="32"/>
      <c r="C12" s="199"/>
      <c r="D12" s="202"/>
      <c r="E12" s="208" t="s">
        <v>40</v>
      </c>
      <c r="F12" s="211" t="s">
        <v>13</v>
      </c>
      <c r="G12" s="214" t="s">
        <v>3</v>
      </c>
      <c r="H12" s="215"/>
      <c r="I12" s="124" t="s">
        <v>25</v>
      </c>
      <c r="J12" s="211" t="s">
        <v>38</v>
      </c>
      <c r="K12" s="209" t="s">
        <v>16</v>
      </c>
      <c r="L12" s="34"/>
    </row>
    <row r="13" spans="2:12" ht="18" customHeight="1">
      <c r="B13" s="32"/>
      <c r="C13" s="199"/>
      <c r="D13" s="202"/>
      <c r="E13" s="209"/>
      <c r="F13" s="212"/>
      <c r="G13" s="216" t="s">
        <v>37</v>
      </c>
      <c r="H13" s="218" t="s">
        <v>24</v>
      </c>
      <c r="I13" s="220" t="s">
        <v>36</v>
      </c>
      <c r="J13" s="212"/>
      <c r="K13" s="209"/>
      <c r="L13" s="34"/>
    </row>
    <row r="14" spans="2:12" ht="28.5" customHeight="1" thickBot="1">
      <c r="B14" s="32"/>
      <c r="C14" s="200"/>
      <c r="D14" s="203"/>
      <c r="E14" s="210"/>
      <c r="F14" s="213"/>
      <c r="G14" s="217"/>
      <c r="H14" s="219"/>
      <c r="I14" s="217"/>
      <c r="J14" s="213"/>
      <c r="K14" s="210"/>
      <c r="L14" s="34"/>
    </row>
    <row r="15" spans="2:12" s="38" customFormat="1" ht="15" customHeight="1">
      <c r="B15" s="39"/>
      <c r="C15" s="80">
        <v>40610</v>
      </c>
      <c r="D15" s="138">
        <v>4</v>
      </c>
      <c r="E15" s="5" t="s">
        <v>150</v>
      </c>
      <c r="F15" s="83" t="s">
        <v>151</v>
      </c>
      <c r="G15" s="138">
        <v>1</v>
      </c>
      <c r="H15" s="141" t="s">
        <v>152</v>
      </c>
      <c r="I15" s="142">
        <v>2</v>
      </c>
      <c r="J15" s="87">
        <f>25.8/1.18</f>
        <v>21.864406779661017</v>
      </c>
      <c r="K15" s="85" t="s">
        <v>145</v>
      </c>
      <c r="L15" s="40"/>
    </row>
    <row r="16" spans="2:12" s="38" customFormat="1" ht="12.75" customHeight="1">
      <c r="B16" s="39"/>
      <c r="C16" s="80">
        <v>40610</v>
      </c>
      <c r="D16" s="138">
        <v>4</v>
      </c>
      <c r="E16" s="5" t="s">
        <v>107</v>
      </c>
      <c r="F16" s="83" t="s">
        <v>108</v>
      </c>
      <c r="G16" s="138">
        <v>1</v>
      </c>
      <c r="H16" s="141" t="s">
        <v>124</v>
      </c>
      <c r="I16" s="142">
        <v>2</v>
      </c>
      <c r="J16" s="87">
        <f>180/1.18</f>
        <v>152.54237288135593</v>
      </c>
      <c r="K16" s="85" t="s">
        <v>119</v>
      </c>
      <c r="L16" s="40"/>
    </row>
    <row r="17" spans="2:12" s="38" customFormat="1" ht="23.25" customHeight="1">
      <c r="B17" s="39"/>
      <c r="C17" s="143">
        <v>40610</v>
      </c>
      <c r="D17" s="144">
        <v>4</v>
      </c>
      <c r="E17" s="145" t="s">
        <v>133</v>
      </c>
      <c r="F17" s="83" t="s">
        <v>134</v>
      </c>
      <c r="G17" s="144">
        <v>1</v>
      </c>
      <c r="H17" s="147" t="s">
        <v>137</v>
      </c>
      <c r="I17" s="148">
        <v>2</v>
      </c>
      <c r="J17" s="149">
        <f>1340/1.18</f>
        <v>1135.5932203389832</v>
      </c>
      <c r="K17" s="225" t="s">
        <v>364</v>
      </c>
      <c r="L17" s="40"/>
    </row>
    <row r="18" spans="2:12" s="38" customFormat="1" ht="17.25" customHeight="1">
      <c r="B18" s="39"/>
      <c r="C18" s="143">
        <v>40610</v>
      </c>
      <c r="D18" s="144">
        <v>4</v>
      </c>
      <c r="E18" s="145" t="s">
        <v>133</v>
      </c>
      <c r="F18" s="83" t="s">
        <v>134</v>
      </c>
      <c r="G18" s="138">
        <v>4</v>
      </c>
      <c r="H18" s="141" t="s">
        <v>92</v>
      </c>
      <c r="I18" s="142">
        <v>2</v>
      </c>
      <c r="J18" s="87">
        <v>4580</v>
      </c>
      <c r="K18" s="224"/>
      <c r="L18" s="40"/>
    </row>
    <row r="19" spans="2:14" s="38" customFormat="1" ht="13.5" customHeight="1">
      <c r="B19" s="39"/>
      <c r="C19" s="80">
        <v>40612</v>
      </c>
      <c r="D19" s="138">
        <v>4</v>
      </c>
      <c r="E19" s="5" t="s">
        <v>107</v>
      </c>
      <c r="F19" s="83" t="s">
        <v>108</v>
      </c>
      <c r="G19" s="138">
        <v>1</v>
      </c>
      <c r="H19" s="141" t="s">
        <v>125</v>
      </c>
      <c r="I19" s="142">
        <v>2</v>
      </c>
      <c r="J19" s="87">
        <f>9.61/1.18</f>
        <v>8.14406779661017</v>
      </c>
      <c r="K19" s="85" t="s">
        <v>126</v>
      </c>
      <c r="L19" s="40"/>
      <c r="M19" s="38">
        <v>1</v>
      </c>
      <c r="N19" s="38">
        <f>+SUMIF(I15:I27,1,J15:J27)</f>
        <v>1000</v>
      </c>
    </row>
    <row r="20" spans="2:14" s="38" customFormat="1" ht="13.5" customHeight="1">
      <c r="B20" s="39"/>
      <c r="C20" s="80">
        <v>40616</v>
      </c>
      <c r="D20" s="138">
        <v>4</v>
      </c>
      <c r="E20" s="5" t="s">
        <v>140</v>
      </c>
      <c r="F20" s="83" t="s">
        <v>141</v>
      </c>
      <c r="G20" s="138">
        <v>1</v>
      </c>
      <c r="H20" s="141" t="s">
        <v>153</v>
      </c>
      <c r="I20" s="142">
        <v>2</v>
      </c>
      <c r="J20" s="87">
        <f>239.9/1.18</f>
        <v>203.30508474576274</v>
      </c>
      <c r="K20" s="85" t="s">
        <v>145</v>
      </c>
      <c r="L20" s="40"/>
      <c r="M20" s="38">
        <v>2</v>
      </c>
      <c r="N20" s="175">
        <f>+SUMIF(I15:I27,2,J15:J27)</f>
        <v>8484.837288135594</v>
      </c>
    </row>
    <row r="21" spans="2:12" s="38" customFormat="1" ht="13.5" customHeight="1">
      <c r="B21" s="39"/>
      <c r="C21" s="80">
        <v>40616</v>
      </c>
      <c r="D21" s="138">
        <v>4</v>
      </c>
      <c r="E21" s="5" t="s">
        <v>107</v>
      </c>
      <c r="F21" s="83" t="s">
        <v>108</v>
      </c>
      <c r="G21" s="138">
        <v>1</v>
      </c>
      <c r="H21" s="141" t="s">
        <v>127</v>
      </c>
      <c r="I21" s="142">
        <v>2</v>
      </c>
      <c r="J21" s="87">
        <f>182.4/1.18</f>
        <v>154.5762711864407</v>
      </c>
      <c r="K21" s="85" t="s">
        <v>128</v>
      </c>
      <c r="L21" s="40"/>
    </row>
    <row r="22" spans="2:12" s="38" customFormat="1" ht="13.5" customHeight="1">
      <c r="B22" s="39"/>
      <c r="C22" s="80">
        <v>40625</v>
      </c>
      <c r="D22" s="138">
        <v>4</v>
      </c>
      <c r="E22" s="5" t="s">
        <v>107</v>
      </c>
      <c r="F22" s="83" t="s">
        <v>108</v>
      </c>
      <c r="G22" s="138">
        <v>1</v>
      </c>
      <c r="H22" s="141" t="s">
        <v>129</v>
      </c>
      <c r="I22" s="142">
        <v>2</v>
      </c>
      <c r="J22" s="87">
        <f>300/1.18</f>
        <v>254.23728813559325</v>
      </c>
      <c r="K22" s="85" t="s">
        <v>130</v>
      </c>
      <c r="L22" s="40"/>
    </row>
    <row r="23" spans="2:12" s="38" customFormat="1" ht="13.5" customHeight="1">
      <c r="B23" s="39"/>
      <c r="C23" s="80">
        <v>40626</v>
      </c>
      <c r="D23" s="138">
        <v>3</v>
      </c>
      <c r="E23" s="5" t="s">
        <v>70</v>
      </c>
      <c r="F23" s="83" t="s">
        <v>71</v>
      </c>
      <c r="G23" s="138">
        <v>1</v>
      </c>
      <c r="H23" s="141" t="s">
        <v>72</v>
      </c>
      <c r="I23" s="142">
        <v>2</v>
      </c>
      <c r="J23" s="87">
        <v>466.1</v>
      </c>
      <c r="K23" s="85" t="s">
        <v>73</v>
      </c>
      <c r="L23" s="40"/>
    </row>
    <row r="24" spans="2:12" s="38" customFormat="1" ht="13.5" customHeight="1">
      <c r="B24" s="39"/>
      <c r="C24" s="153">
        <v>40626</v>
      </c>
      <c r="D24" s="158">
        <v>4</v>
      </c>
      <c r="E24" s="41" t="s">
        <v>107</v>
      </c>
      <c r="F24" s="156" t="s">
        <v>108</v>
      </c>
      <c r="G24" s="158">
        <v>1</v>
      </c>
      <c r="H24" s="159" t="s">
        <v>131</v>
      </c>
      <c r="I24" s="157">
        <v>2</v>
      </c>
      <c r="J24" s="155">
        <f>300/1.18</f>
        <v>254.23728813559325</v>
      </c>
      <c r="K24" s="154" t="s">
        <v>130</v>
      </c>
      <c r="L24" s="40"/>
    </row>
    <row r="25" spans="2:12" s="38" customFormat="1" ht="13.5" customHeight="1">
      <c r="B25" s="39"/>
      <c r="C25" s="143">
        <v>40626</v>
      </c>
      <c r="D25" s="144">
        <v>4</v>
      </c>
      <c r="E25" s="145" t="s">
        <v>74</v>
      </c>
      <c r="F25" s="83" t="s">
        <v>75</v>
      </c>
      <c r="G25" s="144">
        <v>2</v>
      </c>
      <c r="H25" s="147" t="s">
        <v>358</v>
      </c>
      <c r="I25" s="148">
        <v>2</v>
      </c>
      <c r="J25" s="149">
        <v>1000</v>
      </c>
      <c r="K25" s="150" t="s">
        <v>86</v>
      </c>
      <c r="L25" s="40"/>
    </row>
    <row r="26" spans="2:12" s="38" customFormat="1" ht="13.5" customHeight="1">
      <c r="B26" s="39"/>
      <c r="C26" s="143">
        <v>40630</v>
      </c>
      <c r="D26" s="144">
        <v>4</v>
      </c>
      <c r="E26" s="161" t="s">
        <v>107</v>
      </c>
      <c r="F26" s="83" t="s">
        <v>108</v>
      </c>
      <c r="G26" s="144">
        <v>1</v>
      </c>
      <c r="H26" s="147" t="s">
        <v>132</v>
      </c>
      <c r="I26" s="148">
        <v>2</v>
      </c>
      <c r="J26" s="149">
        <f>300/1.18</f>
        <v>254.23728813559325</v>
      </c>
      <c r="K26" s="150" t="s">
        <v>130</v>
      </c>
      <c r="L26" s="40"/>
    </row>
    <row r="27" spans="2:12" s="38" customFormat="1" ht="13.5" customHeight="1">
      <c r="B27" s="39"/>
      <c r="C27" s="143">
        <v>40631</v>
      </c>
      <c r="D27" s="144">
        <v>1</v>
      </c>
      <c r="E27" s="145" t="s">
        <v>61</v>
      </c>
      <c r="F27" s="146" t="s">
        <v>60</v>
      </c>
      <c r="G27" s="144">
        <v>4</v>
      </c>
      <c r="H27" s="147" t="s">
        <v>92</v>
      </c>
      <c r="I27" s="148">
        <v>1</v>
      </c>
      <c r="J27" s="149">
        <v>1000</v>
      </c>
      <c r="K27" s="150" t="s">
        <v>59</v>
      </c>
      <c r="L27" s="40"/>
    </row>
    <row r="28" spans="2:12" ht="13.5" thickBot="1">
      <c r="B28" s="32"/>
      <c r="C28" s="221" t="s">
        <v>10</v>
      </c>
      <c r="D28" s="222"/>
      <c r="E28" s="222"/>
      <c r="F28" s="222"/>
      <c r="G28" s="222"/>
      <c r="H28" s="222"/>
      <c r="I28" s="91"/>
      <c r="J28" s="11">
        <f>SUM(J15:J27)</f>
        <v>9484.837288135594</v>
      </c>
      <c r="K28" s="12"/>
      <c r="L28" s="34"/>
    </row>
    <row r="29" spans="2:12" ht="12.75">
      <c r="B29" s="32"/>
      <c r="C29" s="113" t="s">
        <v>19</v>
      </c>
      <c r="D29" s="1"/>
      <c r="E29" s="1"/>
      <c r="F29" s="1"/>
      <c r="G29" s="1"/>
      <c r="H29" s="106"/>
      <c r="I29" s="1"/>
      <c r="J29" s="13"/>
      <c r="K29" s="13"/>
      <c r="L29" s="34"/>
    </row>
    <row r="30" spans="2:12" ht="12.75">
      <c r="B30" s="32"/>
      <c r="C30" s="114"/>
      <c r="D30" s="1"/>
      <c r="E30" s="1"/>
      <c r="F30" s="1"/>
      <c r="G30" s="1"/>
      <c r="H30" s="106"/>
      <c r="I30" s="1"/>
      <c r="J30" s="13"/>
      <c r="K30" s="13"/>
      <c r="L30" s="34"/>
    </row>
    <row r="31" spans="2:12" ht="4.5" customHeight="1">
      <c r="B31" s="32"/>
      <c r="C31" s="109"/>
      <c r="D31" s="1"/>
      <c r="E31" s="1"/>
      <c r="F31" s="1"/>
      <c r="G31" s="1"/>
      <c r="H31" s="106"/>
      <c r="I31" s="1"/>
      <c r="J31" s="1"/>
      <c r="K31" s="1"/>
      <c r="L31" s="34"/>
    </row>
    <row r="32" spans="2:12" ht="12.75" hidden="1">
      <c r="B32" s="32"/>
      <c r="C32" s="109"/>
      <c r="D32" s="1"/>
      <c r="E32" s="1"/>
      <c r="F32" s="1"/>
      <c r="G32" s="1"/>
      <c r="H32" s="106"/>
      <c r="I32" s="1"/>
      <c r="J32" s="1"/>
      <c r="K32" s="1"/>
      <c r="L32" s="34"/>
    </row>
    <row r="33" spans="2:12" ht="12.75" hidden="1">
      <c r="B33" s="32"/>
      <c r="C33" s="109"/>
      <c r="D33" s="1"/>
      <c r="E33" s="1"/>
      <c r="F33" s="1"/>
      <c r="G33" s="1"/>
      <c r="H33" s="106"/>
      <c r="I33" s="1"/>
      <c r="J33" s="1"/>
      <c r="K33" s="1"/>
      <c r="L33" s="34"/>
    </row>
    <row r="34" spans="2:12" ht="12.75" hidden="1">
      <c r="B34" s="32"/>
      <c r="C34" s="109"/>
      <c r="D34" s="1"/>
      <c r="E34" s="1"/>
      <c r="F34" s="1"/>
      <c r="G34" s="1"/>
      <c r="H34" s="106"/>
      <c r="I34" s="1"/>
      <c r="J34" s="1"/>
      <c r="K34" s="1"/>
      <c r="L34" s="34"/>
    </row>
    <row r="35" spans="2:12" ht="12.75" hidden="1">
      <c r="B35" s="32"/>
      <c r="C35" s="109"/>
      <c r="D35" s="1"/>
      <c r="E35" s="1"/>
      <c r="F35" s="1"/>
      <c r="G35" s="1"/>
      <c r="H35" s="106"/>
      <c r="I35" s="1"/>
      <c r="J35" s="1"/>
      <c r="K35" s="1"/>
      <c r="L35" s="34"/>
    </row>
    <row r="36" spans="2:12" ht="12.75" hidden="1">
      <c r="B36" s="32"/>
      <c r="C36" s="109"/>
      <c r="D36" s="1"/>
      <c r="E36" s="1"/>
      <c r="F36" s="1"/>
      <c r="G36" s="1"/>
      <c r="H36" s="106"/>
      <c r="I36" s="1"/>
      <c r="J36" s="1"/>
      <c r="K36" s="1"/>
      <c r="L36" s="34"/>
    </row>
    <row r="37" spans="2:12" ht="12.75" hidden="1">
      <c r="B37" s="32"/>
      <c r="C37" s="109"/>
      <c r="D37" s="1"/>
      <c r="E37" s="1"/>
      <c r="F37" s="1"/>
      <c r="G37" s="1"/>
      <c r="H37" s="106"/>
      <c r="I37" s="1"/>
      <c r="J37" s="1"/>
      <c r="K37" s="1"/>
      <c r="L37" s="34"/>
    </row>
    <row r="38" spans="2:12" ht="12.75">
      <c r="B38" s="32"/>
      <c r="C38" s="109"/>
      <c r="D38" s="1"/>
      <c r="E38" s="1"/>
      <c r="F38" s="1"/>
      <c r="G38" s="1"/>
      <c r="H38" s="106"/>
      <c r="I38" s="1"/>
      <c r="J38" s="1"/>
      <c r="K38" s="1"/>
      <c r="L38" s="34"/>
    </row>
    <row r="39" spans="2:12" ht="12.75">
      <c r="B39" s="32"/>
      <c r="C39" s="112" t="s">
        <v>12</v>
      </c>
      <c r="D39" s="18"/>
      <c r="E39" s="24"/>
      <c r="F39" s="1"/>
      <c r="G39" s="14"/>
      <c r="H39" s="121"/>
      <c r="I39" s="14"/>
      <c r="J39" s="2"/>
      <c r="K39" s="1"/>
      <c r="L39" s="34"/>
    </row>
    <row r="40" spans="2:12" ht="12.75">
      <c r="B40" s="32"/>
      <c r="C40" s="115" t="s">
        <v>359</v>
      </c>
      <c r="D40" s="18"/>
      <c r="E40" s="1"/>
      <c r="F40" s="1"/>
      <c r="G40" s="14"/>
      <c r="H40" s="106"/>
      <c r="I40" s="1"/>
      <c r="J40" s="42"/>
      <c r="K40" s="1"/>
      <c r="L40" s="34"/>
    </row>
    <row r="41" spans="2:12" ht="12.75">
      <c r="B41" s="32"/>
      <c r="C41" s="115" t="s">
        <v>360</v>
      </c>
      <c r="D41" s="18"/>
      <c r="E41" s="1"/>
      <c r="F41" s="1"/>
      <c r="G41" s="14"/>
      <c r="H41" s="106"/>
      <c r="I41" s="1"/>
      <c r="J41" s="42"/>
      <c r="K41" s="1"/>
      <c r="L41" s="34"/>
    </row>
    <row r="42" spans="2:12" ht="12.75">
      <c r="B42" s="32"/>
      <c r="C42" s="115" t="s">
        <v>361</v>
      </c>
      <c r="D42" s="18"/>
      <c r="E42" s="1"/>
      <c r="F42" s="1"/>
      <c r="G42" s="14"/>
      <c r="H42" s="106"/>
      <c r="I42" s="1"/>
      <c r="J42" s="42"/>
      <c r="K42" s="1"/>
      <c r="L42" s="34"/>
    </row>
    <row r="43" spans="2:12" ht="3" customHeight="1">
      <c r="B43" s="32"/>
      <c r="C43" s="110"/>
      <c r="D43" s="1"/>
      <c r="E43" s="1"/>
      <c r="F43" s="1"/>
      <c r="G43" s="22"/>
      <c r="H43" s="121"/>
      <c r="I43" s="14"/>
      <c r="J43" s="14"/>
      <c r="K43" s="1"/>
      <c r="L43" s="34"/>
    </row>
    <row r="44" spans="2:12" ht="12.75">
      <c r="B44" s="32"/>
      <c r="C44" s="116" t="s">
        <v>5</v>
      </c>
      <c r="D44" s="24"/>
      <c r="E44" s="24"/>
      <c r="F44" s="24"/>
      <c r="G44" s="24"/>
      <c r="H44" s="103"/>
      <c r="I44" s="24"/>
      <c r="J44" s="24"/>
      <c r="K44" s="24"/>
      <c r="L44" s="34"/>
    </row>
    <row r="45" spans="2:12" ht="12.75">
      <c r="B45" s="52"/>
      <c r="C45" s="116" t="s">
        <v>21</v>
      </c>
      <c r="D45" s="24"/>
      <c r="E45" s="24"/>
      <c r="F45" s="24"/>
      <c r="G45" s="24"/>
      <c r="H45" s="103"/>
      <c r="I45" s="24"/>
      <c r="J45" s="24"/>
      <c r="K45" s="24"/>
      <c r="L45" s="53"/>
    </row>
    <row r="46" spans="2:12" ht="4.5" customHeight="1">
      <c r="B46" s="52"/>
      <c r="C46" s="114"/>
      <c r="D46" s="24"/>
      <c r="E46" s="24"/>
      <c r="F46" s="24"/>
      <c r="G46" s="24"/>
      <c r="H46" s="103"/>
      <c r="I46" s="24"/>
      <c r="J46" s="24"/>
      <c r="K46" s="24"/>
      <c r="L46" s="53"/>
    </row>
    <row r="47" spans="2:12" ht="12.75">
      <c r="B47" s="52"/>
      <c r="C47" s="116" t="s">
        <v>2</v>
      </c>
      <c r="D47" s="24"/>
      <c r="E47" s="24"/>
      <c r="F47" s="24"/>
      <c r="G47" s="24"/>
      <c r="H47" s="103"/>
      <c r="I47" s="24"/>
      <c r="J47" s="24"/>
      <c r="K47" s="24"/>
      <c r="L47" s="53"/>
    </row>
    <row r="48" spans="2:12" ht="12.75">
      <c r="B48" s="52"/>
      <c r="C48" s="116" t="s">
        <v>22</v>
      </c>
      <c r="D48" s="24"/>
      <c r="E48" s="24"/>
      <c r="F48" s="24"/>
      <c r="G48" s="24"/>
      <c r="H48" s="103"/>
      <c r="I48" s="24"/>
      <c r="J48" s="24"/>
      <c r="K48" s="24"/>
      <c r="L48" s="53"/>
    </row>
    <row r="49" spans="2:12" ht="12.75">
      <c r="B49" s="52"/>
      <c r="C49" s="117" t="s">
        <v>26</v>
      </c>
      <c r="D49" s="24"/>
      <c r="E49" s="24"/>
      <c r="F49" s="24"/>
      <c r="G49" s="24"/>
      <c r="H49" s="103"/>
      <c r="I49" s="24"/>
      <c r="J49" s="24"/>
      <c r="K49" s="24"/>
      <c r="L49" s="53"/>
    </row>
    <row r="50" spans="2:12" ht="12.75">
      <c r="B50" s="52"/>
      <c r="C50" s="116" t="s">
        <v>23</v>
      </c>
      <c r="D50" s="24"/>
      <c r="E50" s="24"/>
      <c r="F50" s="24"/>
      <c r="G50" s="24"/>
      <c r="H50" s="103"/>
      <c r="I50" s="24"/>
      <c r="J50" s="24"/>
      <c r="K50" s="24"/>
      <c r="L50" s="53"/>
    </row>
    <row r="51" spans="2:12" ht="12.75">
      <c r="B51" s="52"/>
      <c r="C51" s="114" t="s">
        <v>27</v>
      </c>
      <c r="D51" s="24"/>
      <c r="E51" s="24"/>
      <c r="F51" s="24"/>
      <c r="G51" s="24"/>
      <c r="H51" s="103"/>
      <c r="I51" s="24"/>
      <c r="J51" s="24"/>
      <c r="K51" s="24"/>
      <c r="L51" s="53"/>
    </row>
    <row r="52" spans="2:12" ht="12.75">
      <c r="B52" s="52"/>
      <c r="C52" s="114" t="s">
        <v>29</v>
      </c>
      <c r="D52" s="24"/>
      <c r="E52" s="24"/>
      <c r="F52" s="24"/>
      <c r="G52" s="24"/>
      <c r="H52" s="103"/>
      <c r="I52" s="24"/>
      <c r="J52" s="24"/>
      <c r="K52" s="24"/>
      <c r="L52" s="53"/>
    </row>
    <row r="53" spans="2:12" ht="12.75">
      <c r="B53" s="32"/>
      <c r="C53" s="114" t="s">
        <v>39</v>
      </c>
      <c r="D53" s="24"/>
      <c r="E53" s="24"/>
      <c r="F53" s="24"/>
      <c r="G53" s="24"/>
      <c r="H53" s="103"/>
      <c r="I53" s="24"/>
      <c r="J53" s="24"/>
      <c r="K53" s="24"/>
      <c r="L53" s="34"/>
    </row>
    <row r="54" spans="2:12" ht="12.75">
      <c r="B54" s="32"/>
      <c r="C54" s="114" t="s">
        <v>28</v>
      </c>
      <c r="D54" s="24"/>
      <c r="E54" s="24"/>
      <c r="F54" s="24"/>
      <c r="G54" s="24"/>
      <c r="H54" s="103"/>
      <c r="I54" s="24"/>
      <c r="J54" s="24"/>
      <c r="K54" s="24"/>
      <c r="L54" s="34"/>
    </row>
    <row r="55" spans="2:12" ht="6" customHeight="1" thickBot="1">
      <c r="B55" s="35"/>
      <c r="C55" s="118"/>
      <c r="D55" s="36"/>
      <c r="E55" s="36"/>
      <c r="F55" s="21"/>
      <c r="G55" s="21"/>
      <c r="H55" s="105"/>
      <c r="I55" s="21"/>
      <c r="J55" s="21"/>
      <c r="K55" s="21"/>
      <c r="L55" s="37"/>
    </row>
  </sheetData>
  <sheetProtection/>
  <mergeCells count="17">
    <mergeCell ref="K17:K18"/>
    <mergeCell ref="J12:J14"/>
    <mergeCell ref="K12:K14"/>
    <mergeCell ref="G13:G14"/>
    <mergeCell ref="H13:H14"/>
    <mergeCell ref="I13:I14"/>
    <mergeCell ref="G12:H12"/>
    <mergeCell ref="C28:H28"/>
    <mergeCell ref="C4:K4"/>
    <mergeCell ref="C6:K6"/>
    <mergeCell ref="I8:L8"/>
    <mergeCell ref="C11:C14"/>
    <mergeCell ref="D11:D14"/>
    <mergeCell ref="E11:F11"/>
    <mergeCell ref="G11:K11"/>
    <mergeCell ref="E12:E14"/>
    <mergeCell ref="F12:F14"/>
  </mergeCells>
  <dataValidations count="8">
    <dataValidation type="textLength" allowBlank="1" showInputMessage="1" showErrorMessage="1" errorTitle="Error en RUC" error="Verifique que la longitud del RUC sea de 11 dígitos" sqref="F27">
      <formula1>11</formula1>
      <formula2>11</formula2>
    </dataValidation>
    <dataValidation allowBlank="1" showInputMessage="1" showErrorMessage="1" errorTitle="Error en RUC" error="Verifique que la longitud del RUC sea de 11 dígitos" sqref="F15:F26"/>
    <dataValidation type="whole" allowBlank="1" showInputMessage="1" showErrorMessage="1" sqref="I7 I10:I12 I1:I5 I15:I65536">
      <formula1>1</formula1>
      <formula2>2</formula2>
    </dataValidation>
    <dataValidation type="whole" allowBlank="1" showInputMessage="1" showErrorMessage="1" errorTitle="Error código de publicidad" error="Verifique los códigos de tipo de publicidad en la tabla CODIGO DE PUBLICIDAD&#10;&#10;&#10;" sqref="D9:D10 D7 D1:D5 D15:D65536">
      <formula1>1</formula1>
      <formula2>5</formula2>
    </dataValidation>
    <dataValidation type="whole" allowBlank="1" showInputMessage="1" showErrorMessage="1" errorTitle="Error en código de sustento" error="Verificar el código del documento de sustento según la tabla CODIGO DE SUSTENTO" sqref="G9:G12 G7 G1:G5 G15:G65536">
      <formula1>1</formula1>
      <formula2>4</formula2>
    </dataValidation>
    <dataValidation allowBlank="1" showInputMessage="1" showErrorMessage="1" errorTitle="Error código de publicidad" error="Verifique los códigos de tipo de publicidad en la tabla CODIGO DE PUBLICIDAD&#10;&#10;&#10;" sqref="D11:D14"/>
    <dataValidation allowBlank="1" showInputMessage="1" showErrorMessage="1" errorTitle="Error en código de sustento" error="Verificar el código del documento de sustento según la tabla CODIGO DE SUSTENTO" sqref="G13:G14"/>
    <dataValidation type="decimal" operator="greaterThanOrEqual" allowBlank="1" showInputMessage="1" showErrorMessage="1" errorTitle="Error en el Importe" error="Ingresar valores numéricos y mayores de 0" sqref="J15:J27">
      <formula1>0</formula1>
    </dataValidation>
  </dataValidations>
  <printOptions/>
  <pageMargins left="0" right="0" top="0.5118110236220472" bottom="0" header="0" footer="0"/>
  <pageSetup horizontalDpi="600" verticalDpi="600" orientation="landscape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58"/>
  <sheetViews>
    <sheetView zoomScale="75" zoomScaleNormal="75" zoomScalePageLayoutView="0" workbookViewId="0" topLeftCell="A1">
      <selection activeCell="E39" sqref="E39"/>
    </sheetView>
  </sheetViews>
  <sheetFormatPr defaultColWidth="11.421875" defaultRowHeight="12.75"/>
  <cols>
    <col min="1" max="1" width="1.421875" style="0" customWidth="1"/>
    <col min="2" max="2" width="1.28515625" style="0" customWidth="1"/>
    <col min="3" max="3" width="9.8515625" style="107" customWidth="1"/>
    <col min="4" max="4" width="14.57421875" style="0" customWidth="1"/>
    <col min="5" max="5" width="37.421875" style="0" customWidth="1"/>
    <col min="6" max="6" width="12.57421875" style="0" customWidth="1"/>
    <col min="7" max="7" width="11.140625" style="0" customWidth="1"/>
    <col min="8" max="8" width="8.421875" style="119" customWidth="1"/>
    <col min="9" max="9" width="14.140625" style="0" customWidth="1"/>
    <col min="10" max="10" width="13.421875" style="0" customWidth="1"/>
    <col min="11" max="11" width="40.57421875" style="0" customWidth="1"/>
    <col min="12" max="12" width="1.28515625" style="0" customWidth="1"/>
    <col min="15" max="15" width="104.57421875" style="0" customWidth="1"/>
  </cols>
  <sheetData>
    <row r="1" ht="7.5" customHeight="1" thickBot="1"/>
    <row r="2" spans="2:12" ht="12.75">
      <c r="B2" s="27"/>
      <c r="C2" s="108" t="s">
        <v>42</v>
      </c>
      <c r="D2" s="29"/>
      <c r="E2" s="28"/>
      <c r="F2" s="28"/>
      <c r="G2" s="28"/>
      <c r="H2" s="120"/>
      <c r="I2" s="28"/>
      <c r="J2" s="29"/>
      <c r="K2" s="30" t="s">
        <v>45</v>
      </c>
      <c r="L2" s="31"/>
    </row>
    <row r="3" spans="2:12" ht="10.5" customHeight="1">
      <c r="B3" s="32"/>
      <c r="C3" s="109"/>
      <c r="D3" s="2"/>
      <c r="E3" s="1"/>
      <c r="F3" s="1"/>
      <c r="G3" s="1"/>
      <c r="H3" s="106"/>
      <c r="I3" s="1"/>
      <c r="J3" s="1"/>
      <c r="K3" s="1"/>
      <c r="L3" s="33"/>
    </row>
    <row r="4" spans="2:12" s="78" customFormat="1" ht="15.75" customHeight="1">
      <c r="B4" s="77"/>
      <c r="C4" s="191" t="s">
        <v>18</v>
      </c>
      <c r="D4" s="192"/>
      <c r="E4" s="192"/>
      <c r="F4" s="192"/>
      <c r="G4" s="192"/>
      <c r="H4" s="192"/>
      <c r="I4" s="192"/>
      <c r="J4" s="192"/>
      <c r="K4" s="193"/>
      <c r="L4" s="93"/>
    </row>
    <row r="5" spans="2:12" ht="12.75">
      <c r="B5" s="32"/>
      <c r="C5" s="110"/>
      <c r="D5" s="14"/>
      <c r="E5" s="14"/>
      <c r="F5" s="14"/>
      <c r="G5" s="14"/>
      <c r="H5" s="121"/>
      <c r="I5" s="14"/>
      <c r="J5" s="14"/>
      <c r="K5" s="14"/>
      <c r="L5" s="33"/>
    </row>
    <row r="6" spans="2:12" ht="12.75">
      <c r="B6" s="32"/>
      <c r="C6" s="194" t="s">
        <v>362</v>
      </c>
      <c r="D6" s="194"/>
      <c r="E6" s="194"/>
      <c r="F6" s="194"/>
      <c r="G6" s="194"/>
      <c r="H6" s="194"/>
      <c r="I6" s="194"/>
      <c r="J6" s="194"/>
      <c r="K6" s="194"/>
      <c r="L6" s="33"/>
    </row>
    <row r="7" spans="2:12" ht="12.75">
      <c r="B7" s="32"/>
      <c r="C7" s="111"/>
      <c r="D7" s="26"/>
      <c r="E7" s="26"/>
      <c r="F7" s="26"/>
      <c r="G7" s="26"/>
      <c r="H7" s="96"/>
      <c r="I7" s="26"/>
      <c r="J7" s="26"/>
      <c r="K7" s="26"/>
      <c r="L7" s="33"/>
    </row>
    <row r="8" spans="2:12" ht="12.75">
      <c r="B8" s="32"/>
      <c r="C8" s="112" t="s">
        <v>47</v>
      </c>
      <c r="D8" s="26"/>
      <c r="E8" s="26"/>
      <c r="F8" s="92"/>
      <c r="G8" s="14"/>
      <c r="H8" s="121"/>
      <c r="I8" s="195" t="s">
        <v>49</v>
      </c>
      <c r="J8" s="196"/>
      <c r="K8" s="196"/>
      <c r="L8" s="197"/>
    </row>
    <row r="9" spans="2:12" ht="12.75">
      <c r="B9" s="32"/>
      <c r="C9" s="112" t="s">
        <v>48</v>
      </c>
      <c r="D9" s="26"/>
      <c r="E9" s="26"/>
      <c r="F9" s="26"/>
      <c r="G9" s="26"/>
      <c r="H9" s="121"/>
      <c r="I9" s="14"/>
      <c r="J9" s="14"/>
      <c r="K9" s="14"/>
      <c r="L9" s="53"/>
    </row>
    <row r="10" spans="2:12" ht="9" customHeight="1" thickBot="1">
      <c r="B10" s="32"/>
      <c r="C10" s="109"/>
      <c r="D10" s="1"/>
      <c r="E10" s="1"/>
      <c r="F10" s="1"/>
      <c r="G10" s="1"/>
      <c r="H10" s="106"/>
      <c r="I10" s="1"/>
      <c r="J10" s="1"/>
      <c r="K10" s="1"/>
      <c r="L10" s="33"/>
    </row>
    <row r="11" spans="2:12" ht="19.5" customHeight="1" thickBot="1">
      <c r="B11" s="32"/>
      <c r="C11" s="198" t="s">
        <v>14</v>
      </c>
      <c r="D11" s="201" t="s">
        <v>44</v>
      </c>
      <c r="E11" s="204" t="s">
        <v>5</v>
      </c>
      <c r="F11" s="205"/>
      <c r="G11" s="206" t="s">
        <v>2</v>
      </c>
      <c r="H11" s="207"/>
      <c r="I11" s="207"/>
      <c r="J11" s="207"/>
      <c r="K11" s="205"/>
      <c r="L11" s="34"/>
    </row>
    <row r="12" spans="2:12" ht="27" customHeight="1" thickBot="1">
      <c r="B12" s="32"/>
      <c r="C12" s="199"/>
      <c r="D12" s="202"/>
      <c r="E12" s="208" t="s">
        <v>40</v>
      </c>
      <c r="F12" s="211" t="s">
        <v>13</v>
      </c>
      <c r="G12" s="214" t="s">
        <v>3</v>
      </c>
      <c r="H12" s="215"/>
      <c r="I12" s="124" t="s">
        <v>25</v>
      </c>
      <c r="J12" s="211" t="s">
        <v>38</v>
      </c>
      <c r="K12" s="209" t="s">
        <v>16</v>
      </c>
      <c r="L12" s="34"/>
    </row>
    <row r="13" spans="2:12" ht="18" customHeight="1">
      <c r="B13" s="32"/>
      <c r="C13" s="199"/>
      <c r="D13" s="202"/>
      <c r="E13" s="209"/>
      <c r="F13" s="212"/>
      <c r="G13" s="216" t="s">
        <v>37</v>
      </c>
      <c r="H13" s="218" t="s">
        <v>24</v>
      </c>
      <c r="I13" s="220" t="s">
        <v>36</v>
      </c>
      <c r="J13" s="212"/>
      <c r="K13" s="209"/>
      <c r="L13" s="34"/>
    </row>
    <row r="14" spans="2:12" ht="28.5" customHeight="1" thickBot="1">
      <c r="B14" s="32"/>
      <c r="C14" s="200"/>
      <c r="D14" s="203"/>
      <c r="E14" s="210"/>
      <c r="F14" s="213"/>
      <c r="G14" s="217"/>
      <c r="H14" s="219"/>
      <c r="I14" s="217"/>
      <c r="J14" s="213"/>
      <c r="K14" s="210"/>
      <c r="L14" s="34"/>
    </row>
    <row r="15" spans="2:14" s="38" customFormat="1" ht="15" customHeight="1">
      <c r="B15" s="39"/>
      <c r="C15" s="143">
        <v>40623</v>
      </c>
      <c r="D15" s="144">
        <v>4</v>
      </c>
      <c r="E15" s="145" t="s">
        <v>133</v>
      </c>
      <c r="F15" s="83" t="s">
        <v>134</v>
      </c>
      <c r="G15" s="138">
        <v>1</v>
      </c>
      <c r="H15" s="141" t="s">
        <v>138</v>
      </c>
      <c r="I15" s="142">
        <v>2</v>
      </c>
      <c r="J15" s="87">
        <f>2862/1.18</f>
        <v>2425.4237288135596</v>
      </c>
      <c r="K15" s="226" t="s">
        <v>365</v>
      </c>
      <c r="L15" s="40"/>
      <c r="N15" s="175"/>
    </row>
    <row r="16" spans="2:14" s="38" customFormat="1" ht="12.75" customHeight="1">
      <c r="B16" s="39"/>
      <c r="C16" s="143">
        <v>40623</v>
      </c>
      <c r="D16" s="144">
        <v>4</v>
      </c>
      <c r="E16" s="145" t="s">
        <v>133</v>
      </c>
      <c r="F16" s="83" t="s">
        <v>134</v>
      </c>
      <c r="G16" s="138">
        <v>4</v>
      </c>
      <c r="H16" s="141" t="s">
        <v>92</v>
      </c>
      <c r="I16" s="142">
        <v>2</v>
      </c>
      <c r="J16" s="87">
        <v>5628</v>
      </c>
      <c r="K16" s="227"/>
      <c r="L16" s="40"/>
      <c r="M16" s="38">
        <v>1</v>
      </c>
      <c r="N16" s="38">
        <f>+SUMIF(I15:I24,1,J15:J24)</f>
        <v>5595</v>
      </c>
    </row>
    <row r="17" spans="2:14" s="38" customFormat="1" ht="13.5" customHeight="1">
      <c r="B17" s="39"/>
      <c r="C17" s="143">
        <v>40628</v>
      </c>
      <c r="D17" s="144">
        <v>4</v>
      </c>
      <c r="E17" s="145" t="s">
        <v>133</v>
      </c>
      <c r="F17" s="83" t="s">
        <v>134</v>
      </c>
      <c r="G17" s="138">
        <v>1</v>
      </c>
      <c r="H17" s="141" t="s">
        <v>135</v>
      </c>
      <c r="I17" s="142">
        <v>2</v>
      </c>
      <c r="J17" s="87">
        <f>1910/1.18</f>
        <v>1618.6440677966102</v>
      </c>
      <c r="K17" s="228" t="s">
        <v>366</v>
      </c>
      <c r="L17" s="40"/>
      <c r="M17" s="38">
        <v>2</v>
      </c>
      <c r="N17" s="175">
        <f>+SUMIF(I15:I24,2,J15:J24)</f>
        <v>11759.355932203389</v>
      </c>
    </row>
    <row r="18" spans="2:12" s="38" customFormat="1" ht="13.5" customHeight="1">
      <c r="B18" s="39"/>
      <c r="C18" s="143">
        <v>40628</v>
      </c>
      <c r="D18" s="144">
        <v>4</v>
      </c>
      <c r="E18" s="145" t="s">
        <v>133</v>
      </c>
      <c r="F18" s="83" t="s">
        <v>134</v>
      </c>
      <c r="G18" s="138">
        <v>4</v>
      </c>
      <c r="H18" s="141" t="s">
        <v>92</v>
      </c>
      <c r="I18" s="142">
        <v>1</v>
      </c>
      <c r="J18" s="87">
        <v>2370</v>
      </c>
      <c r="K18" s="227"/>
      <c r="L18" s="40"/>
    </row>
    <row r="19" spans="2:12" s="38" customFormat="1" ht="13.5" customHeight="1">
      <c r="B19" s="39"/>
      <c r="C19" s="143">
        <v>40631</v>
      </c>
      <c r="D19" s="144">
        <v>4</v>
      </c>
      <c r="E19" s="145" t="s">
        <v>133</v>
      </c>
      <c r="F19" s="83" t="s">
        <v>134</v>
      </c>
      <c r="G19" s="144">
        <v>1</v>
      </c>
      <c r="H19" s="147" t="s">
        <v>139</v>
      </c>
      <c r="I19" s="142">
        <v>2</v>
      </c>
      <c r="J19" s="149">
        <f>2227/1.18</f>
        <v>1887.2881355932204</v>
      </c>
      <c r="K19" s="229" t="s">
        <v>367</v>
      </c>
      <c r="L19" s="40"/>
    </row>
    <row r="20" spans="2:12" s="38" customFormat="1" ht="13.5" customHeight="1">
      <c r="B20" s="39"/>
      <c r="C20" s="143">
        <v>40631</v>
      </c>
      <c r="D20" s="144">
        <v>4</v>
      </c>
      <c r="E20" s="145" t="s">
        <v>133</v>
      </c>
      <c r="F20" s="83" t="s">
        <v>134</v>
      </c>
      <c r="G20" s="144">
        <v>4</v>
      </c>
      <c r="H20" s="141" t="s">
        <v>92</v>
      </c>
      <c r="I20" s="142">
        <v>1</v>
      </c>
      <c r="J20" s="149">
        <v>725</v>
      </c>
      <c r="K20" s="227"/>
      <c r="L20" s="40"/>
    </row>
    <row r="21" spans="2:12" s="38" customFormat="1" ht="13.5" customHeight="1">
      <c r="B21" s="39"/>
      <c r="C21" s="80">
        <v>40633</v>
      </c>
      <c r="D21" s="138">
        <v>2</v>
      </c>
      <c r="E21" s="5" t="s">
        <v>357</v>
      </c>
      <c r="F21" s="83">
        <v>10107120357</v>
      </c>
      <c r="G21" s="138">
        <v>4</v>
      </c>
      <c r="H21" s="141" t="s">
        <v>92</v>
      </c>
      <c r="I21" s="142">
        <v>1</v>
      </c>
      <c r="J21" s="87">
        <v>2500</v>
      </c>
      <c r="K21" s="85" t="s">
        <v>53</v>
      </c>
      <c r="L21" s="40"/>
    </row>
    <row r="22" spans="2:12" ht="13.5" customHeight="1">
      <c r="B22" s="32"/>
      <c r="C22" s="143">
        <v>40633</v>
      </c>
      <c r="D22" s="144">
        <v>2</v>
      </c>
      <c r="E22" s="145" t="s">
        <v>56</v>
      </c>
      <c r="F22" s="146" t="s">
        <v>55</v>
      </c>
      <c r="G22" s="144">
        <v>3</v>
      </c>
      <c r="H22" s="147" t="s">
        <v>57</v>
      </c>
      <c r="I22" s="148">
        <v>2</v>
      </c>
      <c r="J22" s="149">
        <v>200</v>
      </c>
      <c r="K22" s="150" t="s">
        <v>58</v>
      </c>
      <c r="L22" s="34"/>
    </row>
    <row r="23" spans="2:12" ht="13.5" customHeight="1" hidden="1">
      <c r="B23" s="32"/>
      <c r="C23" s="3"/>
      <c r="D23" s="4"/>
      <c r="E23" s="10"/>
      <c r="F23" s="5"/>
      <c r="G23" s="8"/>
      <c r="H23" s="6"/>
      <c r="I23" s="6"/>
      <c r="J23" s="7"/>
      <c r="K23" s="9"/>
      <c r="L23" s="34"/>
    </row>
    <row r="24" spans="2:12" ht="13.5" customHeight="1" hidden="1">
      <c r="B24" s="32"/>
      <c r="C24" s="3"/>
      <c r="D24" s="4"/>
      <c r="E24" s="10"/>
      <c r="F24" s="5"/>
      <c r="G24" s="8"/>
      <c r="H24" s="6"/>
      <c r="I24" s="6"/>
      <c r="J24" s="7"/>
      <c r="K24" s="9"/>
      <c r="L24" s="34"/>
    </row>
    <row r="25" spans="2:12" ht="13.5" customHeight="1" hidden="1">
      <c r="B25" s="32"/>
      <c r="C25" s="3"/>
      <c r="D25" s="4"/>
      <c r="E25" s="10"/>
      <c r="F25" s="5"/>
      <c r="G25" s="8"/>
      <c r="H25" s="6"/>
      <c r="I25" s="6"/>
      <c r="J25" s="7"/>
      <c r="K25" s="9"/>
      <c r="L25" s="34"/>
    </row>
    <row r="26" spans="2:12" ht="13.5" customHeight="1" hidden="1">
      <c r="B26" s="32"/>
      <c r="C26" s="3"/>
      <c r="D26" s="4"/>
      <c r="E26" s="10"/>
      <c r="F26" s="5"/>
      <c r="G26" s="8"/>
      <c r="H26" s="6"/>
      <c r="I26" s="6"/>
      <c r="J26" s="7"/>
      <c r="K26" s="9"/>
      <c r="L26" s="34"/>
    </row>
    <row r="27" spans="2:12" ht="13.5" customHeight="1" hidden="1">
      <c r="B27" s="32"/>
      <c r="C27" s="3"/>
      <c r="D27" s="4"/>
      <c r="E27" s="10"/>
      <c r="F27" s="5"/>
      <c r="G27" s="8"/>
      <c r="H27" s="6"/>
      <c r="I27" s="6"/>
      <c r="J27" s="7"/>
      <c r="K27" s="9"/>
      <c r="L27" s="34"/>
    </row>
    <row r="28" spans="2:12" ht="13.5" customHeight="1" hidden="1">
      <c r="B28" s="32"/>
      <c r="C28" s="3"/>
      <c r="D28" s="4"/>
      <c r="E28" s="10"/>
      <c r="F28" s="5"/>
      <c r="G28" s="8"/>
      <c r="H28" s="6"/>
      <c r="I28" s="6"/>
      <c r="J28" s="7"/>
      <c r="K28" s="9"/>
      <c r="L28" s="34"/>
    </row>
    <row r="29" spans="2:12" ht="13.5" customHeight="1" hidden="1">
      <c r="B29" s="32"/>
      <c r="C29" s="3"/>
      <c r="D29" s="4"/>
      <c r="E29" s="10"/>
      <c r="F29" s="5"/>
      <c r="G29" s="8"/>
      <c r="H29" s="6"/>
      <c r="I29" s="6"/>
      <c r="J29" s="7"/>
      <c r="K29" s="9"/>
      <c r="L29" s="34"/>
    </row>
    <row r="30" spans="2:12" ht="13.5" customHeight="1" hidden="1">
      <c r="B30" s="32"/>
      <c r="C30" s="3"/>
      <c r="D30" s="4"/>
      <c r="E30" s="10"/>
      <c r="F30" s="5"/>
      <c r="G30" s="8"/>
      <c r="H30" s="6"/>
      <c r="I30" s="6"/>
      <c r="J30" s="7"/>
      <c r="K30" s="9"/>
      <c r="L30" s="34"/>
    </row>
    <row r="31" spans="2:12" ht="13.5" customHeight="1" hidden="1">
      <c r="B31" s="32"/>
      <c r="C31" s="3"/>
      <c r="D31" s="4"/>
      <c r="E31" s="10"/>
      <c r="F31" s="5"/>
      <c r="G31" s="8"/>
      <c r="H31" s="6"/>
      <c r="I31" s="6"/>
      <c r="J31" s="7"/>
      <c r="K31" s="9"/>
      <c r="L31" s="34"/>
    </row>
    <row r="32" spans="2:12" ht="13.5" customHeight="1" hidden="1">
      <c r="B32" s="32"/>
      <c r="C32" s="3"/>
      <c r="D32" s="4"/>
      <c r="E32" s="10"/>
      <c r="F32" s="5"/>
      <c r="G32" s="8"/>
      <c r="H32" s="6"/>
      <c r="I32" s="6"/>
      <c r="J32" s="7"/>
      <c r="K32" s="9"/>
      <c r="L32" s="34"/>
    </row>
    <row r="33" spans="2:12" ht="13.5" customHeight="1" hidden="1">
      <c r="B33" s="32"/>
      <c r="C33" s="3"/>
      <c r="D33" s="4"/>
      <c r="E33" s="10"/>
      <c r="F33" s="5"/>
      <c r="G33" s="8"/>
      <c r="H33" s="6"/>
      <c r="I33" s="6"/>
      <c r="J33" s="7"/>
      <c r="K33" s="9"/>
      <c r="L33" s="34"/>
    </row>
    <row r="34" spans="2:12" ht="13.5" customHeight="1" hidden="1">
      <c r="B34" s="32"/>
      <c r="C34" s="3"/>
      <c r="D34" s="4"/>
      <c r="E34" s="10"/>
      <c r="F34" s="5"/>
      <c r="G34" s="8"/>
      <c r="H34" s="6"/>
      <c r="I34" s="6"/>
      <c r="J34" s="7"/>
      <c r="K34" s="9"/>
      <c r="L34" s="34"/>
    </row>
    <row r="35" spans="2:12" ht="13.5" customHeight="1" hidden="1">
      <c r="B35" s="32"/>
      <c r="C35" s="3"/>
      <c r="D35" s="4"/>
      <c r="E35" s="10"/>
      <c r="F35" s="5"/>
      <c r="G35" s="8"/>
      <c r="H35" s="6"/>
      <c r="I35" s="6"/>
      <c r="J35" s="7"/>
      <c r="K35" s="9"/>
      <c r="L35" s="34"/>
    </row>
    <row r="36" spans="2:12" ht="13.5" thickBot="1">
      <c r="B36" s="32"/>
      <c r="C36" s="221" t="s">
        <v>10</v>
      </c>
      <c r="D36" s="222"/>
      <c r="E36" s="222"/>
      <c r="F36" s="222"/>
      <c r="G36" s="222"/>
      <c r="H36" s="222"/>
      <c r="I36" s="91"/>
      <c r="J36" s="11">
        <f>SUM(J15:J35)</f>
        <v>17354.35593220339</v>
      </c>
      <c r="K36" s="12"/>
      <c r="L36" s="34"/>
    </row>
    <row r="37" spans="2:12" ht="12.75">
      <c r="B37" s="32"/>
      <c r="C37" s="113" t="s">
        <v>19</v>
      </c>
      <c r="D37" s="1"/>
      <c r="E37" s="1"/>
      <c r="F37" s="1"/>
      <c r="G37" s="1"/>
      <c r="H37" s="106"/>
      <c r="I37" s="1"/>
      <c r="J37" s="13"/>
      <c r="K37" s="13"/>
      <c r="L37" s="34"/>
    </row>
    <row r="38" spans="2:12" ht="12.75">
      <c r="B38" s="32"/>
      <c r="C38" s="114"/>
      <c r="D38" s="1"/>
      <c r="E38" s="1"/>
      <c r="F38" s="1"/>
      <c r="G38" s="1"/>
      <c r="H38" s="106"/>
      <c r="I38" s="1"/>
      <c r="J38" s="13"/>
      <c r="K38" s="13"/>
      <c r="L38" s="34"/>
    </row>
    <row r="39" spans="2:12" ht="12.75">
      <c r="B39" s="32"/>
      <c r="C39" s="114"/>
      <c r="D39" s="1"/>
      <c r="E39" s="1"/>
      <c r="F39" s="1"/>
      <c r="G39" s="1"/>
      <c r="H39" s="106"/>
      <c r="I39" s="1"/>
      <c r="J39" s="13"/>
      <c r="K39" s="13"/>
      <c r="L39" s="34"/>
    </row>
    <row r="40" spans="2:12" ht="12.75">
      <c r="B40" s="32"/>
      <c r="C40" s="109"/>
      <c r="D40" s="1"/>
      <c r="E40" s="1"/>
      <c r="F40" s="1"/>
      <c r="G40" s="1"/>
      <c r="H40" s="106"/>
      <c r="I40" s="1"/>
      <c r="J40" s="1"/>
      <c r="K40" s="1"/>
      <c r="L40" s="34"/>
    </row>
    <row r="41" spans="2:12" ht="12.75">
      <c r="B41" s="32"/>
      <c r="C41" s="109"/>
      <c r="D41" s="1"/>
      <c r="E41" s="1"/>
      <c r="F41" s="1"/>
      <c r="G41" s="1"/>
      <c r="H41" s="106"/>
      <c r="I41" s="1"/>
      <c r="J41" s="1"/>
      <c r="K41" s="1"/>
      <c r="L41" s="34"/>
    </row>
    <row r="42" spans="2:12" ht="12.75">
      <c r="B42" s="32"/>
      <c r="C42" s="112" t="s">
        <v>12</v>
      </c>
      <c r="D42" s="18"/>
      <c r="E42" s="24"/>
      <c r="F42" s="1"/>
      <c r="G42" s="14"/>
      <c r="H42" s="121"/>
      <c r="I42" s="14"/>
      <c r="J42" s="2"/>
      <c r="K42" s="1"/>
      <c r="L42" s="34"/>
    </row>
    <row r="43" spans="2:12" ht="12.75">
      <c r="B43" s="32"/>
      <c r="C43" s="115" t="s">
        <v>359</v>
      </c>
      <c r="D43" s="18"/>
      <c r="E43" s="1"/>
      <c r="F43" s="1"/>
      <c r="G43" s="14"/>
      <c r="H43" s="106"/>
      <c r="I43" s="1"/>
      <c r="J43" s="42"/>
      <c r="K43" s="1"/>
      <c r="L43" s="34"/>
    </row>
    <row r="44" spans="2:12" ht="12.75">
      <c r="B44" s="32"/>
      <c r="C44" s="115" t="s">
        <v>360</v>
      </c>
      <c r="D44" s="18"/>
      <c r="E44" s="1"/>
      <c r="F44" s="1"/>
      <c r="G44" s="14"/>
      <c r="H44" s="106"/>
      <c r="I44" s="1"/>
      <c r="J44" s="42"/>
      <c r="K44" s="1"/>
      <c r="L44" s="34"/>
    </row>
    <row r="45" spans="2:12" ht="12.75">
      <c r="B45" s="32"/>
      <c r="C45" s="115" t="s">
        <v>361</v>
      </c>
      <c r="D45" s="18"/>
      <c r="E45" s="1"/>
      <c r="F45" s="1"/>
      <c r="G45" s="14"/>
      <c r="H45" s="106"/>
      <c r="I45" s="1"/>
      <c r="J45" s="42"/>
      <c r="K45" s="1"/>
      <c r="L45" s="34"/>
    </row>
    <row r="46" spans="2:12" ht="3" customHeight="1">
      <c r="B46" s="32"/>
      <c r="C46" s="110"/>
      <c r="D46" s="1"/>
      <c r="E46" s="1"/>
      <c r="F46" s="1"/>
      <c r="G46" s="22"/>
      <c r="H46" s="121"/>
      <c r="I46" s="14"/>
      <c r="J46" s="14"/>
      <c r="K46" s="1"/>
      <c r="L46" s="34"/>
    </row>
    <row r="47" spans="2:12" ht="12.75">
      <c r="B47" s="32"/>
      <c r="C47" s="116" t="s">
        <v>5</v>
      </c>
      <c r="D47" s="24"/>
      <c r="E47" s="24"/>
      <c r="F47" s="24"/>
      <c r="G47" s="24"/>
      <c r="H47" s="103"/>
      <c r="I47" s="24"/>
      <c r="J47" s="24"/>
      <c r="K47" s="24"/>
      <c r="L47" s="34"/>
    </row>
    <row r="48" spans="2:12" ht="12.75">
      <c r="B48" s="52"/>
      <c r="C48" s="116" t="s">
        <v>21</v>
      </c>
      <c r="D48" s="24"/>
      <c r="E48" s="24"/>
      <c r="F48" s="24"/>
      <c r="G48" s="24"/>
      <c r="H48" s="103"/>
      <c r="I48" s="24"/>
      <c r="J48" s="24"/>
      <c r="K48" s="24"/>
      <c r="L48" s="53"/>
    </row>
    <row r="49" spans="2:12" ht="4.5" customHeight="1">
      <c r="B49" s="52"/>
      <c r="C49" s="114"/>
      <c r="D49" s="24"/>
      <c r="E49" s="24"/>
      <c r="F49" s="24"/>
      <c r="G49" s="24"/>
      <c r="H49" s="103"/>
      <c r="I49" s="24"/>
      <c r="J49" s="24"/>
      <c r="K49" s="24"/>
      <c r="L49" s="53"/>
    </row>
    <row r="50" spans="2:12" ht="12.75">
      <c r="B50" s="52"/>
      <c r="C50" s="116" t="s">
        <v>2</v>
      </c>
      <c r="D50" s="24"/>
      <c r="E50" s="24"/>
      <c r="F50" s="24"/>
      <c r="G50" s="24"/>
      <c r="H50" s="103"/>
      <c r="I50" s="24"/>
      <c r="J50" s="24"/>
      <c r="K50" s="24"/>
      <c r="L50" s="53"/>
    </row>
    <row r="51" spans="2:12" ht="12.75">
      <c r="B51" s="52"/>
      <c r="C51" s="116" t="s">
        <v>22</v>
      </c>
      <c r="D51" s="24"/>
      <c r="E51" s="24"/>
      <c r="F51" s="24"/>
      <c r="G51" s="24"/>
      <c r="H51" s="103"/>
      <c r="I51" s="24"/>
      <c r="J51" s="24"/>
      <c r="K51" s="24"/>
      <c r="L51" s="53"/>
    </row>
    <row r="52" spans="2:12" ht="12.75">
      <c r="B52" s="52"/>
      <c r="C52" s="117" t="s">
        <v>26</v>
      </c>
      <c r="D52" s="24"/>
      <c r="E52" s="24"/>
      <c r="F52" s="24"/>
      <c r="G52" s="24"/>
      <c r="H52" s="103"/>
      <c r="I52" s="24"/>
      <c r="J52" s="24"/>
      <c r="K52" s="24"/>
      <c r="L52" s="53"/>
    </row>
    <row r="53" spans="2:12" ht="12.75">
      <c r="B53" s="52"/>
      <c r="C53" s="116" t="s">
        <v>23</v>
      </c>
      <c r="D53" s="24"/>
      <c r="E53" s="24"/>
      <c r="F53" s="24"/>
      <c r="G53" s="24"/>
      <c r="H53" s="103"/>
      <c r="I53" s="24"/>
      <c r="J53" s="24"/>
      <c r="K53" s="24"/>
      <c r="L53" s="53"/>
    </row>
    <row r="54" spans="2:12" ht="12.75">
      <c r="B54" s="52"/>
      <c r="C54" s="114" t="s">
        <v>27</v>
      </c>
      <c r="D54" s="24"/>
      <c r="E54" s="24"/>
      <c r="F54" s="24"/>
      <c r="G54" s="24"/>
      <c r="H54" s="103"/>
      <c r="I54" s="24"/>
      <c r="J54" s="24"/>
      <c r="K54" s="24"/>
      <c r="L54" s="53"/>
    </row>
    <row r="55" spans="2:12" ht="12.75">
      <c r="B55" s="52"/>
      <c r="C55" s="114" t="s">
        <v>29</v>
      </c>
      <c r="D55" s="24"/>
      <c r="E55" s="24"/>
      <c r="F55" s="24"/>
      <c r="G55" s="24"/>
      <c r="H55" s="103"/>
      <c r="I55" s="24"/>
      <c r="J55" s="24"/>
      <c r="K55" s="24"/>
      <c r="L55" s="53"/>
    </row>
    <row r="56" spans="2:12" ht="12.75">
      <c r="B56" s="32"/>
      <c r="C56" s="114" t="s">
        <v>39</v>
      </c>
      <c r="D56" s="24"/>
      <c r="E56" s="24"/>
      <c r="F56" s="24"/>
      <c r="G56" s="24"/>
      <c r="H56" s="103"/>
      <c r="I56" s="24"/>
      <c r="J56" s="24"/>
      <c r="K56" s="24"/>
      <c r="L56" s="34"/>
    </row>
    <row r="57" spans="2:12" ht="12.75">
      <c r="B57" s="32"/>
      <c r="C57" s="114" t="s">
        <v>28</v>
      </c>
      <c r="D57" s="24"/>
      <c r="E57" s="24"/>
      <c r="F57" s="24"/>
      <c r="G57" s="24"/>
      <c r="H57" s="103"/>
      <c r="I57" s="24"/>
      <c r="J57" s="24"/>
      <c r="K57" s="24"/>
      <c r="L57" s="34"/>
    </row>
    <row r="58" spans="2:12" ht="13.5" thickBot="1">
      <c r="B58" s="35"/>
      <c r="C58" s="118"/>
      <c r="D58" s="36"/>
      <c r="E58" s="36"/>
      <c r="F58" s="21"/>
      <c r="G58" s="21"/>
      <c r="H58" s="105"/>
      <c r="I58" s="21"/>
      <c r="J58" s="21"/>
      <c r="K58" s="21"/>
      <c r="L58" s="37"/>
    </row>
  </sheetData>
  <sheetProtection/>
  <mergeCells count="19">
    <mergeCell ref="C4:K4"/>
    <mergeCell ref="C6:K6"/>
    <mergeCell ref="I8:L8"/>
    <mergeCell ref="C11:C14"/>
    <mergeCell ref="D11:D14"/>
    <mergeCell ref="E11:F11"/>
    <mergeCell ref="G11:K11"/>
    <mergeCell ref="E12:E14"/>
    <mergeCell ref="F12:F14"/>
    <mergeCell ref="G12:H12"/>
    <mergeCell ref="I13:I14"/>
    <mergeCell ref="C36:H36"/>
    <mergeCell ref="K15:K16"/>
    <mergeCell ref="K17:K18"/>
    <mergeCell ref="K19:K20"/>
    <mergeCell ref="J12:J14"/>
    <mergeCell ref="K12:K14"/>
    <mergeCell ref="G13:G14"/>
    <mergeCell ref="H13:H14"/>
  </mergeCells>
  <dataValidations count="8">
    <dataValidation type="textLength" allowBlank="1" showInputMessage="1" showErrorMessage="1" errorTitle="Error en RUC" error="Verifique que la longitud del RUC sea de 11 dígitos" sqref="F22:F35">
      <formula1>11</formula1>
      <formula2>11</formula2>
    </dataValidation>
    <dataValidation type="whole" allowBlank="1" showInputMessage="1" showErrorMessage="1" errorTitle="Error en código de sustento" error="Verificar el código del documento de sustento según la tabla CODIGO DE SUSTENTO" sqref="G1:G5 G15:G65536 G7 G9:G12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J15:J35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D1:D5 D15:D65536 D7 D9:D10">
      <formula1>1</formula1>
      <formula2>5</formula2>
    </dataValidation>
    <dataValidation type="whole" allowBlank="1" showInputMessage="1" showErrorMessage="1" sqref="I1:I5 I15:I65536 I7 I10:I12">
      <formula1>1</formula1>
      <formula2>2</formula2>
    </dataValidation>
    <dataValidation allowBlank="1" showInputMessage="1" showErrorMessage="1" errorTitle="Error en RUC" error="Verifique que la longitud del RUC sea de 11 dígitos" sqref="F15:F20"/>
    <dataValidation allowBlank="1" showInputMessage="1" showErrorMessage="1" errorTitle="Error en código de sustento" error="Verificar el código del documento de sustento según la tabla CODIGO DE SUSTENTO" sqref="G13:G14"/>
    <dataValidation allowBlank="1" showInputMessage="1" showErrorMessage="1" errorTitle="Error código de publicidad" error="Verifique los códigos de tipo de publicidad en la tabla CODIGO DE PUBLICIDAD&#10;&#10;&#10;" sqref="D11:D14"/>
  </dataValidations>
  <printOptions/>
  <pageMargins left="0" right="0" top="0.5118110236220472" bottom="0" header="0" footer="0"/>
  <pageSetup horizontalDpi="600" verticalDpi="600" orientation="landscape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99"/>
  <sheetViews>
    <sheetView zoomScale="75" zoomScaleNormal="75" zoomScalePageLayoutView="0" workbookViewId="0" topLeftCell="A1">
      <selection activeCell="C6" sqref="C6:J7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41.140625" style="0" customWidth="1"/>
    <col min="5" max="5" width="14.8515625" style="0" customWidth="1"/>
    <col min="6" max="6" width="38.00390625" style="54" customWidth="1"/>
    <col min="7" max="7" width="19.140625" style="54" customWidth="1"/>
    <col min="8" max="8" width="17.8515625" style="0" customWidth="1"/>
    <col min="9" max="9" width="13.00390625" style="54" customWidth="1"/>
    <col min="10" max="10" width="20.421875" style="95" customWidth="1"/>
    <col min="11" max="11" width="3.00390625" style="0" customWidth="1"/>
  </cols>
  <sheetData>
    <row r="1" ht="13.5" thickBot="1"/>
    <row r="2" spans="2:11" ht="15.75">
      <c r="B2" s="45"/>
      <c r="C2" s="125" t="s">
        <v>42</v>
      </c>
      <c r="D2" s="126"/>
      <c r="E2" s="28"/>
      <c r="F2" s="55"/>
      <c r="G2" s="55"/>
      <c r="H2" s="28"/>
      <c r="I2" s="135" t="s">
        <v>46</v>
      </c>
      <c r="J2" s="135"/>
      <c r="K2" s="136"/>
    </row>
    <row r="3" spans="2:11" ht="7.5" customHeight="1">
      <c r="B3" s="130"/>
      <c r="C3" s="131"/>
      <c r="D3" s="132"/>
      <c r="E3" s="1"/>
      <c r="F3" s="56"/>
      <c r="G3" s="56"/>
      <c r="H3" s="1"/>
      <c r="I3" s="61"/>
      <c r="J3" s="61"/>
      <c r="K3" s="133"/>
    </row>
    <row r="4" spans="2:11" ht="21" customHeight="1">
      <c r="B4" s="32"/>
      <c r="C4" s="191" t="s">
        <v>17</v>
      </c>
      <c r="D4" s="192"/>
      <c r="E4" s="192"/>
      <c r="F4" s="192"/>
      <c r="G4" s="192"/>
      <c r="H4" s="192"/>
      <c r="I4" s="192"/>
      <c r="J4" s="193"/>
      <c r="K4" s="53"/>
    </row>
    <row r="5" spans="2:11" ht="9" customHeight="1">
      <c r="B5" s="32"/>
      <c r="C5" s="194"/>
      <c r="D5" s="194"/>
      <c r="E5" s="194"/>
      <c r="F5" s="194"/>
      <c r="G5" s="194"/>
      <c r="H5" s="194"/>
      <c r="I5" s="194"/>
      <c r="J5" s="194"/>
      <c r="K5" s="53"/>
    </row>
    <row r="6" spans="2:11" ht="12.75">
      <c r="B6" s="32"/>
      <c r="C6" s="194" t="s">
        <v>368</v>
      </c>
      <c r="D6" s="194"/>
      <c r="E6" s="194"/>
      <c r="F6" s="194"/>
      <c r="G6" s="194"/>
      <c r="H6" s="194"/>
      <c r="I6" s="194"/>
      <c r="J6" s="194"/>
      <c r="K6" s="53"/>
    </row>
    <row r="7" spans="2:11" ht="9" customHeight="1">
      <c r="B7" s="32"/>
      <c r="C7" s="26"/>
      <c r="D7" s="26"/>
      <c r="E7" s="26"/>
      <c r="F7" s="26"/>
      <c r="G7" s="26"/>
      <c r="H7" s="26"/>
      <c r="I7" s="26"/>
      <c r="J7" s="96"/>
      <c r="K7" s="53"/>
    </row>
    <row r="8" spans="2:11" ht="12.75">
      <c r="B8" s="32"/>
      <c r="C8" s="15" t="s">
        <v>157</v>
      </c>
      <c r="D8" s="26"/>
      <c r="E8" s="26"/>
      <c r="F8" s="62"/>
      <c r="G8" s="61" t="s">
        <v>158</v>
      </c>
      <c r="H8" s="62"/>
      <c r="I8" s="62"/>
      <c r="J8" s="62"/>
      <c r="K8" s="53"/>
    </row>
    <row r="9" spans="2:11" ht="12.75">
      <c r="B9" s="32"/>
      <c r="C9" s="15" t="s">
        <v>48</v>
      </c>
      <c r="D9" s="26"/>
      <c r="E9" s="26"/>
      <c r="F9" s="26"/>
      <c r="G9" s="50"/>
      <c r="H9" s="50"/>
      <c r="I9" s="13"/>
      <c r="J9" s="102"/>
      <c r="K9" s="53"/>
    </row>
    <row r="10" spans="2:11" ht="13.5" thickBot="1">
      <c r="B10" s="32"/>
      <c r="C10" s="1"/>
      <c r="D10" s="1"/>
      <c r="E10" s="1"/>
      <c r="F10" s="56"/>
      <c r="G10" s="56"/>
      <c r="H10" s="56"/>
      <c r="I10" s="56"/>
      <c r="J10" s="97"/>
      <c r="K10" s="53"/>
    </row>
    <row r="11" spans="2:11" s="25" customFormat="1" ht="21.75" customHeight="1" thickBot="1">
      <c r="B11" s="46"/>
      <c r="C11" s="234" t="s">
        <v>6</v>
      </c>
      <c r="D11" s="235"/>
      <c r="E11" s="236"/>
      <c r="F11" s="234" t="s">
        <v>7</v>
      </c>
      <c r="G11" s="237"/>
      <c r="H11" s="237"/>
      <c r="I11" s="235"/>
      <c r="J11" s="236"/>
      <c r="K11" s="47"/>
    </row>
    <row r="12" spans="2:11" s="25" customFormat="1" ht="28.5" customHeight="1" thickBot="1">
      <c r="B12" s="46"/>
      <c r="C12" s="211" t="s">
        <v>1</v>
      </c>
      <c r="D12" s="208" t="s">
        <v>9</v>
      </c>
      <c r="E12" s="211" t="s">
        <v>38</v>
      </c>
      <c r="F12" s="239" t="s">
        <v>31</v>
      </c>
      <c r="G12" s="211" t="s">
        <v>13</v>
      </c>
      <c r="H12" s="124" t="s">
        <v>25</v>
      </c>
      <c r="I12" s="230" t="s">
        <v>35</v>
      </c>
      <c r="J12" s="231"/>
      <c r="K12" s="47"/>
    </row>
    <row r="13" spans="2:11" s="25" customFormat="1" ht="61.5" customHeight="1" thickBot="1">
      <c r="B13" s="46"/>
      <c r="C13" s="213"/>
      <c r="D13" s="238"/>
      <c r="E13" s="213"/>
      <c r="F13" s="240"/>
      <c r="G13" s="241"/>
      <c r="H13" s="151" t="s">
        <v>36</v>
      </c>
      <c r="I13" s="94" t="s">
        <v>37</v>
      </c>
      <c r="J13" s="152" t="s">
        <v>30</v>
      </c>
      <c r="K13" s="47"/>
    </row>
    <row r="14" spans="2:11" s="38" customFormat="1" ht="14.25" customHeight="1">
      <c r="B14" s="39"/>
      <c r="C14" s="170">
        <v>40585</v>
      </c>
      <c r="D14" s="178" t="s">
        <v>164</v>
      </c>
      <c r="E14" s="86">
        <f>289/1.18</f>
        <v>244.91525423728814</v>
      </c>
      <c r="F14" s="81" t="s">
        <v>165</v>
      </c>
      <c r="G14" s="163" t="s">
        <v>166</v>
      </c>
      <c r="H14" s="165">
        <v>2</v>
      </c>
      <c r="I14" s="137">
        <v>1</v>
      </c>
      <c r="J14" s="139" t="s">
        <v>167</v>
      </c>
      <c r="K14" s="64"/>
    </row>
    <row r="15" spans="2:11" s="38" customFormat="1" ht="14.25" customHeight="1">
      <c r="B15" s="39"/>
      <c r="C15" s="80">
        <v>40587</v>
      </c>
      <c r="D15" s="85" t="s">
        <v>181</v>
      </c>
      <c r="E15" s="87">
        <f>165.38/1.18</f>
        <v>140.15254237288136</v>
      </c>
      <c r="F15" s="5" t="s">
        <v>182</v>
      </c>
      <c r="G15" s="83" t="s">
        <v>183</v>
      </c>
      <c r="H15" s="142">
        <v>2</v>
      </c>
      <c r="I15" s="138">
        <v>1</v>
      </c>
      <c r="J15" s="141" t="s">
        <v>199</v>
      </c>
      <c r="K15" s="64"/>
    </row>
    <row r="16" spans="2:11" s="38" customFormat="1" ht="14.25" customHeight="1">
      <c r="B16" s="39"/>
      <c r="C16" s="153">
        <v>40587</v>
      </c>
      <c r="D16" s="154" t="s">
        <v>240</v>
      </c>
      <c r="E16" s="155">
        <f>8.9/1.18</f>
        <v>7.5423728813559325</v>
      </c>
      <c r="F16" s="41" t="s">
        <v>239</v>
      </c>
      <c r="G16" s="156" t="s">
        <v>241</v>
      </c>
      <c r="H16" s="157">
        <v>2</v>
      </c>
      <c r="I16" s="158">
        <v>1</v>
      </c>
      <c r="J16" s="159" t="s">
        <v>243</v>
      </c>
      <c r="K16" s="64"/>
    </row>
    <row r="17" spans="2:11" s="38" customFormat="1" ht="14.25" customHeight="1">
      <c r="B17" s="39"/>
      <c r="C17" s="80">
        <v>40592</v>
      </c>
      <c r="D17" s="85" t="s">
        <v>181</v>
      </c>
      <c r="E17" s="87">
        <f>60.09/1.18</f>
        <v>50.92372881355933</v>
      </c>
      <c r="F17" s="5" t="s">
        <v>291</v>
      </c>
      <c r="G17" s="83" t="s">
        <v>200</v>
      </c>
      <c r="H17" s="142">
        <v>2</v>
      </c>
      <c r="I17" s="138">
        <v>1</v>
      </c>
      <c r="J17" s="141" t="s">
        <v>201</v>
      </c>
      <c r="K17" s="64"/>
    </row>
    <row r="18" spans="2:11" s="38" customFormat="1" ht="14.25" customHeight="1">
      <c r="B18" s="39"/>
      <c r="C18" s="153">
        <v>40592</v>
      </c>
      <c r="D18" s="154" t="s">
        <v>267</v>
      </c>
      <c r="E18" s="155">
        <f>168/1.18</f>
        <v>142.3728813559322</v>
      </c>
      <c r="F18" s="41" t="s">
        <v>265</v>
      </c>
      <c r="G18" s="156" t="s">
        <v>268</v>
      </c>
      <c r="H18" s="157">
        <v>2</v>
      </c>
      <c r="I18" s="158">
        <v>1</v>
      </c>
      <c r="J18" s="159" t="s">
        <v>269</v>
      </c>
      <c r="K18" s="64"/>
    </row>
    <row r="19" spans="2:13" s="38" customFormat="1" ht="14.25" customHeight="1">
      <c r="B19" s="39"/>
      <c r="C19" s="153">
        <v>40596</v>
      </c>
      <c r="D19" s="154" t="s">
        <v>181</v>
      </c>
      <c r="E19" s="155">
        <f>20/1.18</f>
        <v>16.949152542372882</v>
      </c>
      <c r="F19" s="41" t="s">
        <v>208</v>
      </c>
      <c r="G19" s="156" t="s">
        <v>209</v>
      </c>
      <c r="H19" s="157">
        <v>2</v>
      </c>
      <c r="I19" s="158">
        <v>1</v>
      </c>
      <c r="J19" s="159" t="s">
        <v>210</v>
      </c>
      <c r="K19" s="64"/>
      <c r="M19" s="38">
        <f>+SUMIF(H14:H28,1,E14:E28)</f>
        <v>148</v>
      </c>
    </row>
    <row r="20" spans="2:13" s="38" customFormat="1" ht="14.25" customHeight="1">
      <c r="B20" s="39"/>
      <c r="C20" s="80">
        <v>40596</v>
      </c>
      <c r="D20" s="85" t="s">
        <v>181</v>
      </c>
      <c r="E20" s="87">
        <f>160.12/1.18</f>
        <v>135.6949152542373</v>
      </c>
      <c r="F20" s="5" t="s">
        <v>182</v>
      </c>
      <c r="G20" s="83" t="s">
        <v>183</v>
      </c>
      <c r="H20" s="142">
        <v>2</v>
      </c>
      <c r="I20" s="138">
        <v>1</v>
      </c>
      <c r="J20" s="141" t="s">
        <v>211</v>
      </c>
      <c r="K20" s="64"/>
      <c r="M20" s="175">
        <f>+SUMIF(H14:H28,2,E14:E28)</f>
        <v>877.1525423728814</v>
      </c>
    </row>
    <row r="21" spans="2:11" s="38" customFormat="1" ht="14.25" customHeight="1">
      <c r="B21" s="39"/>
      <c r="C21" s="80">
        <v>40596</v>
      </c>
      <c r="D21" s="85" t="s">
        <v>240</v>
      </c>
      <c r="E21" s="87">
        <f>10.2/1.18</f>
        <v>8.64406779661017</v>
      </c>
      <c r="F21" s="83" t="s">
        <v>245</v>
      </c>
      <c r="G21" s="83" t="s">
        <v>246</v>
      </c>
      <c r="H21" s="142">
        <v>2</v>
      </c>
      <c r="I21" s="138">
        <v>1</v>
      </c>
      <c r="J21" s="141" t="s">
        <v>247</v>
      </c>
      <c r="K21" s="64"/>
    </row>
    <row r="22" spans="2:11" s="38" customFormat="1" ht="14.25" customHeight="1">
      <c r="B22" s="39"/>
      <c r="C22" s="80">
        <v>40597</v>
      </c>
      <c r="D22" s="85" t="s">
        <v>181</v>
      </c>
      <c r="E22" s="87">
        <f>58.98/1.18</f>
        <v>49.983050847457626</v>
      </c>
      <c r="F22" s="5" t="s">
        <v>212</v>
      </c>
      <c r="G22" s="83" t="s">
        <v>200</v>
      </c>
      <c r="H22" s="142">
        <v>2</v>
      </c>
      <c r="I22" s="138">
        <v>1</v>
      </c>
      <c r="J22" s="141" t="s">
        <v>213</v>
      </c>
      <c r="K22" s="64"/>
    </row>
    <row r="23" spans="2:11" s="38" customFormat="1" ht="14.25" customHeight="1">
      <c r="B23" s="39"/>
      <c r="C23" s="80">
        <v>40601</v>
      </c>
      <c r="D23" s="85" t="s">
        <v>181</v>
      </c>
      <c r="E23" s="87">
        <f>44.76/1.18</f>
        <v>37.93220338983051</v>
      </c>
      <c r="F23" s="5" t="s">
        <v>194</v>
      </c>
      <c r="G23" s="83" t="s">
        <v>195</v>
      </c>
      <c r="H23" s="142">
        <v>2</v>
      </c>
      <c r="I23" s="138">
        <v>1</v>
      </c>
      <c r="J23" s="141" t="s">
        <v>214</v>
      </c>
      <c r="K23" s="64"/>
    </row>
    <row r="24" spans="2:13" s="38" customFormat="1" ht="14.25" customHeight="1">
      <c r="B24" s="39"/>
      <c r="C24" s="80">
        <v>40601</v>
      </c>
      <c r="D24" s="85" t="s">
        <v>240</v>
      </c>
      <c r="E24" s="87">
        <f>8.9/1.18</f>
        <v>7.5423728813559325</v>
      </c>
      <c r="F24" s="183" t="s">
        <v>239</v>
      </c>
      <c r="G24" s="83" t="s">
        <v>241</v>
      </c>
      <c r="H24" s="142">
        <v>2</v>
      </c>
      <c r="I24" s="138">
        <v>1</v>
      </c>
      <c r="J24" s="141" t="s">
        <v>242</v>
      </c>
      <c r="K24" s="64"/>
      <c r="M24" s="175">
        <f>+M19+'FORMATO DE GASTOS-B-2'!M20+'FORMATO DE GASTOS-B-3'!M19+'FORMATO DE GASTOS-B-4'!L20+'FORMATO DE GASTOS-B-5'!L19+'FORMATO DE GASTOS-B-6'!L18+'FORMATO DE GASTOS-B-7'!L17</f>
        <v>3625.110169491525</v>
      </c>
    </row>
    <row r="25" spans="2:13" s="38" customFormat="1" ht="14.25" customHeight="1">
      <c r="B25" s="39"/>
      <c r="C25" s="80">
        <v>40601</v>
      </c>
      <c r="D25" s="85" t="s">
        <v>267</v>
      </c>
      <c r="E25" s="87">
        <v>68</v>
      </c>
      <c r="F25" s="5" t="s">
        <v>259</v>
      </c>
      <c r="G25" s="83" t="s">
        <v>260</v>
      </c>
      <c r="H25" s="142">
        <v>1</v>
      </c>
      <c r="I25" s="138">
        <v>2</v>
      </c>
      <c r="J25" s="141" t="s">
        <v>261</v>
      </c>
      <c r="K25" s="64"/>
      <c r="M25" s="175">
        <f>+M20+'FORMATO DE GASTOS-B-2'!M21+'FORMATO DE GASTOS-B-3'!M20+'FORMATO DE GASTOS-B-4'!L21+'FORMATO DE GASTOS-B-5'!L20+'FORMATO DE GASTOS-B-6'!L19+'FORMATO DE GASTOS-B-7'!L18</f>
        <v>5871.07186440678</v>
      </c>
    </row>
    <row r="26" spans="2:13" s="38" customFormat="1" ht="12.75" customHeight="1">
      <c r="B26" s="39"/>
      <c r="C26" s="80">
        <v>40601</v>
      </c>
      <c r="D26" s="83" t="s">
        <v>266</v>
      </c>
      <c r="E26" s="87">
        <v>34.5</v>
      </c>
      <c r="F26" s="5" t="s">
        <v>262</v>
      </c>
      <c r="G26" s="83" t="s">
        <v>263</v>
      </c>
      <c r="H26" s="142">
        <v>2</v>
      </c>
      <c r="I26" s="138">
        <v>2</v>
      </c>
      <c r="J26" s="141" t="s">
        <v>264</v>
      </c>
      <c r="K26" s="64"/>
      <c r="M26" s="175">
        <f>+M24+M25</f>
        <v>9496.182033898305</v>
      </c>
    </row>
    <row r="27" spans="2:11" s="38" customFormat="1" ht="12.75" customHeight="1">
      <c r="B27" s="39"/>
      <c r="C27" s="153">
        <v>40602</v>
      </c>
      <c r="D27" s="154" t="s">
        <v>341</v>
      </c>
      <c r="E27" s="155">
        <v>40</v>
      </c>
      <c r="F27" s="41" t="s">
        <v>340</v>
      </c>
      <c r="G27" s="156"/>
      <c r="H27" s="157">
        <v>1</v>
      </c>
      <c r="I27" s="158">
        <v>4</v>
      </c>
      <c r="J27" s="159" t="s">
        <v>92</v>
      </c>
      <c r="K27" s="64"/>
    </row>
    <row r="28" spans="2:11" s="38" customFormat="1" ht="12.75" customHeight="1" thickBot="1">
      <c r="B28" s="39"/>
      <c r="C28" s="80">
        <v>40602</v>
      </c>
      <c r="D28" s="85" t="s">
        <v>341</v>
      </c>
      <c r="E28" s="87">
        <v>40</v>
      </c>
      <c r="F28" s="5" t="s">
        <v>342</v>
      </c>
      <c r="G28" s="156"/>
      <c r="H28" s="142">
        <v>1</v>
      </c>
      <c r="I28" s="138">
        <v>4</v>
      </c>
      <c r="J28" s="141" t="s">
        <v>92</v>
      </c>
      <c r="K28" s="64"/>
    </row>
    <row r="29" spans="2:11" ht="13.5" thickBot="1">
      <c r="B29" s="32"/>
      <c r="C29" s="71"/>
      <c r="D29" s="88"/>
      <c r="E29" s="76">
        <f>SUM(E14:E28)</f>
        <v>1025.1525423728813</v>
      </c>
      <c r="F29" s="71"/>
      <c r="G29" s="72"/>
      <c r="H29" s="72"/>
      <c r="I29" s="72"/>
      <c r="J29" s="101"/>
      <c r="K29" s="53"/>
    </row>
    <row r="30" spans="2:11" ht="12.75">
      <c r="B30" s="32"/>
      <c r="C30" s="18" t="s">
        <v>19</v>
      </c>
      <c r="D30" s="13"/>
      <c r="E30" s="13"/>
      <c r="F30" s="56"/>
      <c r="G30" s="56"/>
      <c r="H30" s="1"/>
      <c r="I30" s="56"/>
      <c r="J30" s="97"/>
      <c r="K30" s="53"/>
    </row>
    <row r="31" spans="2:11" ht="9.75" customHeight="1">
      <c r="B31" s="32"/>
      <c r="C31" s="24"/>
      <c r="D31" s="1"/>
      <c r="E31" s="1"/>
      <c r="F31" s="56"/>
      <c r="G31" s="56"/>
      <c r="H31" s="1"/>
      <c r="I31" s="56"/>
      <c r="J31" s="97"/>
      <c r="K31" s="53"/>
    </row>
    <row r="32" spans="2:11" ht="9.75" customHeight="1">
      <c r="B32" s="32"/>
      <c r="C32" s="1"/>
      <c r="D32" s="1"/>
      <c r="E32" s="1"/>
      <c r="F32" s="56"/>
      <c r="G32" s="56"/>
      <c r="H32" s="1"/>
      <c r="I32" s="56"/>
      <c r="J32" s="97"/>
      <c r="K32" s="53"/>
    </row>
    <row r="33" spans="2:11" ht="12.75" hidden="1">
      <c r="B33" s="32"/>
      <c r="C33" s="1"/>
      <c r="D33" s="1"/>
      <c r="E33" s="1"/>
      <c r="F33" s="56"/>
      <c r="G33" s="56"/>
      <c r="H33" s="14"/>
      <c r="I33" s="56"/>
      <c r="J33" s="97"/>
      <c r="K33" s="53"/>
    </row>
    <row r="34" spans="2:11" ht="12.75" hidden="1">
      <c r="B34" s="32"/>
      <c r="C34" s="1"/>
      <c r="D34" s="1"/>
      <c r="E34" s="1"/>
      <c r="F34" s="56"/>
      <c r="G34" s="56"/>
      <c r="H34" s="1"/>
      <c r="I34" s="56"/>
      <c r="J34" s="97"/>
      <c r="K34" s="53"/>
    </row>
    <row r="35" spans="2:11" ht="12.75" hidden="1">
      <c r="B35" s="32"/>
      <c r="C35" s="1"/>
      <c r="D35" s="1"/>
      <c r="E35" s="1"/>
      <c r="F35" s="56"/>
      <c r="G35" s="56"/>
      <c r="H35" s="1"/>
      <c r="I35" s="56"/>
      <c r="J35" s="97"/>
      <c r="K35" s="53"/>
    </row>
    <row r="36" spans="2:11" ht="12.75" hidden="1">
      <c r="B36" s="32"/>
      <c r="C36" s="1"/>
      <c r="D36" s="1"/>
      <c r="E36" s="1"/>
      <c r="F36" s="56"/>
      <c r="G36" s="56"/>
      <c r="H36" s="1"/>
      <c r="I36" s="56"/>
      <c r="J36" s="97"/>
      <c r="K36" s="53"/>
    </row>
    <row r="37" spans="2:11" ht="12.75" hidden="1">
      <c r="B37" s="32"/>
      <c r="C37" s="1"/>
      <c r="D37" s="1"/>
      <c r="E37" s="1"/>
      <c r="F37" s="56"/>
      <c r="G37" s="56"/>
      <c r="H37" s="1"/>
      <c r="I37" s="56"/>
      <c r="J37" s="97"/>
      <c r="K37" s="53"/>
    </row>
    <row r="38" spans="2:11" ht="4.5" customHeight="1">
      <c r="B38" s="32"/>
      <c r="C38" s="1"/>
      <c r="D38" s="1"/>
      <c r="E38" s="1"/>
      <c r="F38" s="61"/>
      <c r="G38" s="61"/>
      <c r="H38" s="14"/>
      <c r="I38" s="56"/>
      <c r="J38" s="97"/>
      <c r="K38" s="53"/>
    </row>
    <row r="39" spans="2:11" ht="12.75">
      <c r="B39" s="32"/>
      <c r="C39" s="1"/>
      <c r="D39" s="1"/>
      <c r="E39" s="14"/>
      <c r="F39" s="63"/>
      <c r="G39" s="63"/>
      <c r="H39" s="24"/>
      <c r="I39" s="62"/>
      <c r="J39" s="102"/>
      <c r="K39" s="53"/>
    </row>
    <row r="40" spans="2:11" ht="12.75">
      <c r="B40" s="32"/>
      <c r="C40" s="15" t="s">
        <v>12</v>
      </c>
      <c r="D40" s="1"/>
      <c r="E40" s="14"/>
      <c r="F40" s="63"/>
      <c r="G40" s="63"/>
      <c r="H40" s="24"/>
      <c r="I40" s="62"/>
      <c r="J40" s="97"/>
      <c r="K40" s="53"/>
    </row>
    <row r="41" spans="2:11" ht="12.75">
      <c r="B41" s="32"/>
      <c r="C41" s="115" t="s">
        <v>359</v>
      </c>
      <c r="D41" s="1"/>
      <c r="E41" s="14"/>
      <c r="F41" s="56"/>
      <c r="G41" s="56"/>
      <c r="H41" s="24"/>
      <c r="I41" s="22"/>
      <c r="J41" s="102"/>
      <c r="K41" s="53"/>
    </row>
    <row r="42" spans="2:11" ht="12.75">
      <c r="B42" s="32"/>
      <c r="C42" s="115" t="s">
        <v>360</v>
      </c>
      <c r="D42" s="1"/>
      <c r="E42" s="14"/>
      <c r="F42" s="56"/>
      <c r="G42" s="56"/>
      <c r="H42" s="24"/>
      <c r="I42" s="22"/>
      <c r="J42" s="102"/>
      <c r="K42" s="53"/>
    </row>
    <row r="43" spans="2:11" ht="12.75">
      <c r="B43" s="32"/>
      <c r="C43" s="115" t="s">
        <v>361</v>
      </c>
      <c r="D43" s="1"/>
      <c r="E43" s="14"/>
      <c r="F43" s="56"/>
      <c r="G43" s="56"/>
      <c r="H43" s="24"/>
      <c r="I43" s="22"/>
      <c r="J43" s="102"/>
      <c r="K43" s="53"/>
    </row>
    <row r="44" spans="2:11" ht="6" customHeight="1">
      <c r="B44" s="32"/>
      <c r="C44" s="42"/>
      <c r="D44" s="1"/>
      <c r="E44" s="14"/>
      <c r="F44" s="56"/>
      <c r="G44" s="56"/>
      <c r="H44" s="24"/>
      <c r="I44" s="22"/>
      <c r="J44" s="102"/>
      <c r="K44" s="53"/>
    </row>
    <row r="45" spans="2:11" ht="12.75">
      <c r="B45" s="52"/>
      <c r="C45" s="49" t="s">
        <v>15</v>
      </c>
      <c r="D45" s="24"/>
      <c r="E45" s="24"/>
      <c r="F45" s="24"/>
      <c r="G45" s="24"/>
      <c r="H45" s="24"/>
      <c r="I45" s="24"/>
      <c r="J45" s="103"/>
      <c r="K45" s="53"/>
    </row>
    <row r="46" spans="2:11" ht="6" customHeight="1">
      <c r="B46" s="52"/>
      <c r="C46" s="24"/>
      <c r="D46" s="24"/>
      <c r="E46" s="24"/>
      <c r="F46" s="24"/>
      <c r="G46" s="24"/>
      <c r="H46" s="24"/>
      <c r="I46" s="24"/>
      <c r="J46" s="103"/>
      <c r="K46" s="53"/>
    </row>
    <row r="47" spans="2:11" ht="12.75">
      <c r="B47" s="52"/>
      <c r="C47" s="49" t="s">
        <v>6</v>
      </c>
      <c r="D47" s="89"/>
      <c r="E47" s="89"/>
      <c r="F47" s="89"/>
      <c r="G47" s="89"/>
      <c r="H47" s="24"/>
      <c r="I47" s="24"/>
      <c r="J47" s="103"/>
      <c r="K47" s="53"/>
    </row>
    <row r="48" spans="2:11" ht="12.75">
      <c r="B48" s="52"/>
      <c r="C48" s="49" t="s">
        <v>34</v>
      </c>
      <c r="D48" s="89"/>
      <c r="E48" s="89"/>
      <c r="F48" s="89"/>
      <c r="G48" s="89"/>
      <c r="H48" s="122"/>
      <c r="I48" s="24"/>
      <c r="J48" s="103"/>
      <c r="K48" s="53"/>
    </row>
    <row r="49" spans="2:11" ht="12.75">
      <c r="B49" s="52"/>
      <c r="C49" s="49" t="s">
        <v>4</v>
      </c>
      <c r="D49" s="89"/>
      <c r="E49" s="89"/>
      <c r="F49" s="89"/>
      <c r="G49" s="89"/>
      <c r="H49" s="123"/>
      <c r="I49" s="24"/>
      <c r="J49" s="103"/>
      <c r="K49" s="53"/>
    </row>
    <row r="50" spans="2:11" ht="25.5" customHeight="1">
      <c r="B50" s="52"/>
      <c r="C50" s="232" t="s">
        <v>32</v>
      </c>
      <c r="D50" s="232"/>
      <c r="E50" s="232"/>
      <c r="F50" s="232"/>
      <c r="G50" s="232"/>
      <c r="H50" s="232"/>
      <c r="I50" s="232"/>
      <c r="J50" s="232"/>
      <c r="K50" s="53"/>
    </row>
    <row r="51" spans="2:11" ht="30" customHeight="1">
      <c r="B51" s="52"/>
      <c r="C51" s="233" t="s">
        <v>33</v>
      </c>
      <c r="D51" s="233"/>
      <c r="E51" s="233"/>
      <c r="F51" s="233"/>
      <c r="G51" s="233"/>
      <c r="H51" s="233"/>
      <c r="I51" s="233"/>
      <c r="J51" s="233"/>
      <c r="K51" s="53"/>
    </row>
    <row r="52" spans="2:11" ht="12.75">
      <c r="B52" s="52"/>
      <c r="C52" s="49" t="s">
        <v>11</v>
      </c>
      <c r="D52" s="51"/>
      <c r="E52" s="51"/>
      <c r="F52" s="51"/>
      <c r="G52" s="51"/>
      <c r="H52" s="14"/>
      <c r="I52" s="24"/>
      <c r="J52" s="103"/>
      <c r="K52" s="53"/>
    </row>
    <row r="53" spans="2:11" ht="6.75" customHeight="1">
      <c r="B53" s="32"/>
      <c r="C53" s="14"/>
      <c r="D53" s="14"/>
      <c r="E53" s="14"/>
      <c r="F53" s="62"/>
      <c r="G53" s="62"/>
      <c r="H53" s="14"/>
      <c r="I53" s="24"/>
      <c r="J53" s="103"/>
      <c r="K53" s="53"/>
    </row>
    <row r="54" spans="2:11" ht="12.75">
      <c r="B54" s="32"/>
      <c r="C54" s="49" t="s">
        <v>8</v>
      </c>
      <c r="D54" s="51"/>
      <c r="E54" s="51"/>
      <c r="F54" s="51"/>
      <c r="G54" s="51"/>
      <c r="H54" s="14"/>
      <c r="I54" s="24"/>
      <c r="J54" s="103"/>
      <c r="K54" s="34"/>
    </row>
    <row r="55" spans="2:11" ht="13.5" customHeight="1">
      <c r="B55" s="32"/>
      <c r="C55" s="49" t="s">
        <v>20</v>
      </c>
      <c r="D55" s="90"/>
      <c r="E55" s="90"/>
      <c r="F55" s="90"/>
      <c r="G55" s="90"/>
      <c r="H55" s="14"/>
      <c r="I55" s="24"/>
      <c r="J55" s="103"/>
      <c r="K55" s="34"/>
    </row>
    <row r="56" spans="2:11" ht="13.5" customHeight="1">
      <c r="B56" s="32"/>
      <c r="C56" s="134" t="s">
        <v>43</v>
      </c>
      <c r="D56" s="49"/>
      <c r="E56" s="49"/>
      <c r="F56" s="49"/>
      <c r="G56" s="49"/>
      <c r="H56" s="14"/>
      <c r="I56" s="24"/>
      <c r="J56" s="103"/>
      <c r="K56" s="34"/>
    </row>
    <row r="57" spans="2:11" ht="13.5" customHeight="1">
      <c r="B57" s="32"/>
      <c r="C57" s="49" t="s">
        <v>41</v>
      </c>
      <c r="D57" s="16"/>
      <c r="E57" s="16"/>
      <c r="F57" s="16"/>
      <c r="G57" s="16"/>
      <c r="H57" s="14"/>
      <c r="I57" s="1"/>
      <c r="J57" s="104"/>
      <c r="K57" s="34"/>
    </row>
    <row r="58" spans="2:11" ht="7.5" customHeight="1" thickBot="1">
      <c r="B58" s="35"/>
      <c r="C58" s="21"/>
      <c r="D58" s="65"/>
      <c r="E58" s="65"/>
      <c r="F58" s="65"/>
      <c r="G58" s="65"/>
      <c r="H58" s="129"/>
      <c r="I58" s="21"/>
      <c r="J58" s="105"/>
      <c r="K58" s="66"/>
    </row>
    <row r="96" spans="2:10" ht="12.75">
      <c r="B96" s="32"/>
      <c r="D96" s="17"/>
      <c r="E96" s="17"/>
      <c r="F96" s="17"/>
      <c r="G96" s="17"/>
      <c r="I96" s="1"/>
      <c r="J96" s="106"/>
    </row>
    <row r="97" spans="2:10" ht="12.75">
      <c r="B97" s="32"/>
      <c r="D97" s="23"/>
      <c r="E97" s="23"/>
      <c r="F97" s="23"/>
      <c r="G97" s="23"/>
      <c r="I97" s="1"/>
      <c r="J97" s="106"/>
    </row>
    <row r="98" spans="2:10" ht="12.75">
      <c r="B98" s="32"/>
      <c r="D98" s="23"/>
      <c r="E98" s="23"/>
      <c r="F98" s="23"/>
      <c r="G98" s="23"/>
      <c r="I98" s="1"/>
      <c r="J98" s="106"/>
    </row>
    <row r="99" spans="2:10" ht="12.75">
      <c r="B99" s="32"/>
      <c r="D99" s="2"/>
      <c r="E99" s="2"/>
      <c r="F99" s="2"/>
      <c r="G99" s="2"/>
      <c r="I99" s="1"/>
      <c r="J99" s="106"/>
    </row>
  </sheetData>
  <sheetProtection/>
  <mergeCells count="13">
    <mergeCell ref="E12:E13"/>
    <mergeCell ref="F12:F13"/>
    <mergeCell ref="G12:G13"/>
    <mergeCell ref="I12:J12"/>
    <mergeCell ref="C50:J50"/>
    <mergeCell ref="C51:J51"/>
    <mergeCell ref="C4:J4"/>
    <mergeCell ref="C5:J5"/>
    <mergeCell ref="C6:J6"/>
    <mergeCell ref="C11:E11"/>
    <mergeCell ref="F11:J11"/>
    <mergeCell ref="C12:C13"/>
    <mergeCell ref="D12:D13"/>
  </mergeCells>
  <dataValidations count="6">
    <dataValidation type="whole" allowBlank="1" showInputMessage="1" showErrorMessage="1" sqref="H52:H65536 H14:H49 H10:H12 H1:H8">
      <formula1>1</formula1>
      <formula2>2</formula2>
    </dataValidation>
    <dataValidation type="whole" allowBlank="1" showInputMessage="1" showErrorMessage="1" errorTitle="Error en código de sustento" error="Verifique los códigos válidos en la tabla CÓDIGO DE SUSTENTO&#10;&#10;" sqref="I52:I65536 I29:I50 I24:I26 I1:I11">
      <formula1>1</formula1>
      <formula2>4</formula2>
    </dataValidation>
    <dataValidation type="whole" allowBlank="1" showInputMessage="1" showErrorMessage="1" errorTitle="Error en código de sustento" error="Verificar el código del documento de sustento según la tabla CODIGO DE SUSTENTO" sqref="I27:I28 I14:I23">
      <formula1>1</formula1>
      <formula2>4</formula2>
    </dataValidation>
    <dataValidation allowBlank="1" showInputMessage="1" showErrorMessage="1" errorTitle="Error en RUC" error="Verifique que la longitud del RUC sea de 11 dígitos" sqref="G28 G14:G23"/>
    <dataValidation allowBlank="1" showInputMessage="1" showErrorMessage="1" errorTitle="Error en código de sustento" error="Verifique los códigos válidos en la tabla CÓDIGO DE SUSTENTO&#10;&#10;" sqref="I12:J12 I13"/>
    <dataValidation type="decimal" operator="greaterThanOrEqual" allowBlank="1" showInputMessage="1" showErrorMessage="1" errorTitle="Error en el Importe" error="Ingresar valores numéricos y mayores de 0" sqref="E14:E28">
      <formula1>0</formula1>
    </dataValidation>
  </dataValidations>
  <printOptions/>
  <pageMargins left="0.31496062992125984" right="0.31496062992125984" top="0.1968503937007874" bottom="0.17" header="0.31496062992125984" footer="0.17"/>
  <pageSetup horizontalDpi="120" verticalDpi="12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93"/>
  <sheetViews>
    <sheetView zoomScale="75" zoomScaleNormal="75" zoomScalePageLayoutView="0" workbookViewId="0" topLeftCell="A1">
      <selection activeCell="C33" sqref="C3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41.140625" style="0" customWidth="1"/>
    <col min="5" max="5" width="14.8515625" style="0" customWidth="1"/>
    <col min="6" max="6" width="38.00390625" style="54" customWidth="1"/>
    <col min="7" max="7" width="19.140625" style="54" customWidth="1"/>
    <col min="8" max="8" width="17.8515625" style="0" customWidth="1"/>
    <col min="9" max="9" width="13.00390625" style="54" customWidth="1"/>
    <col min="10" max="10" width="20.421875" style="95" customWidth="1"/>
    <col min="11" max="11" width="3.00390625" style="0" customWidth="1"/>
  </cols>
  <sheetData>
    <row r="1" ht="13.5" thickBot="1"/>
    <row r="2" spans="2:11" ht="15.75">
      <c r="B2" s="45"/>
      <c r="C2" s="125" t="s">
        <v>42</v>
      </c>
      <c r="D2" s="126"/>
      <c r="E2" s="28"/>
      <c r="F2" s="55"/>
      <c r="G2" s="55"/>
      <c r="H2" s="28"/>
      <c r="I2" s="135" t="s">
        <v>46</v>
      </c>
      <c r="J2" s="135"/>
      <c r="K2" s="136"/>
    </row>
    <row r="3" spans="2:11" ht="9" customHeight="1">
      <c r="B3" s="130"/>
      <c r="C3" s="131"/>
      <c r="D3" s="132"/>
      <c r="E3" s="1"/>
      <c r="F3" s="56"/>
      <c r="G3" s="56"/>
      <c r="H3" s="1"/>
      <c r="I3" s="61"/>
      <c r="J3" s="61"/>
      <c r="K3" s="133"/>
    </row>
    <row r="4" spans="2:11" ht="21" customHeight="1">
      <c r="B4" s="32"/>
      <c r="C4" s="191" t="s">
        <v>17</v>
      </c>
      <c r="D4" s="192"/>
      <c r="E4" s="192"/>
      <c r="F4" s="192"/>
      <c r="G4" s="192"/>
      <c r="H4" s="192"/>
      <c r="I4" s="192"/>
      <c r="J4" s="193"/>
      <c r="K4" s="53"/>
    </row>
    <row r="5" spans="2:11" ht="6.75" customHeight="1">
      <c r="B5" s="32"/>
      <c r="C5" s="194"/>
      <c r="D5" s="194"/>
      <c r="E5" s="194"/>
      <c r="F5" s="194"/>
      <c r="G5" s="194"/>
      <c r="H5" s="194"/>
      <c r="I5" s="194"/>
      <c r="J5" s="194"/>
      <c r="K5" s="53"/>
    </row>
    <row r="6" spans="2:11" ht="12.75">
      <c r="B6" s="32"/>
      <c r="C6" s="194" t="s">
        <v>368</v>
      </c>
      <c r="D6" s="194"/>
      <c r="E6" s="194"/>
      <c r="F6" s="194"/>
      <c r="G6" s="194"/>
      <c r="H6" s="194"/>
      <c r="I6" s="194"/>
      <c r="J6" s="194"/>
      <c r="K6" s="53"/>
    </row>
    <row r="7" spans="2:11" ht="5.25" customHeight="1">
      <c r="B7" s="32"/>
      <c r="C7" s="26"/>
      <c r="D7" s="26"/>
      <c r="E7" s="26"/>
      <c r="F7" s="26"/>
      <c r="G7" s="26"/>
      <c r="H7" s="26"/>
      <c r="I7" s="26"/>
      <c r="J7" s="96"/>
      <c r="K7" s="53"/>
    </row>
    <row r="8" spans="2:11" ht="12.75">
      <c r="B8" s="32"/>
      <c r="C8" s="15" t="s">
        <v>157</v>
      </c>
      <c r="D8" s="26"/>
      <c r="E8" s="26"/>
      <c r="F8" s="62"/>
      <c r="G8" s="61" t="s">
        <v>158</v>
      </c>
      <c r="H8" s="62"/>
      <c r="I8" s="62"/>
      <c r="J8" s="62"/>
      <c r="K8" s="53"/>
    </row>
    <row r="9" spans="2:11" ht="12.75">
      <c r="B9" s="32"/>
      <c r="C9" s="15" t="s">
        <v>48</v>
      </c>
      <c r="D9" s="26"/>
      <c r="E9" s="26"/>
      <c r="F9" s="26"/>
      <c r="G9" s="50"/>
      <c r="H9" s="50"/>
      <c r="I9" s="13"/>
      <c r="J9" s="102"/>
      <c r="K9" s="53"/>
    </row>
    <row r="10" spans="2:11" ht="4.5" customHeight="1" thickBot="1">
      <c r="B10" s="32"/>
      <c r="C10" s="1"/>
      <c r="D10" s="1"/>
      <c r="E10" s="1"/>
      <c r="F10" s="56"/>
      <c r="G10" s="56"/>
      <c r="H10" s="56"/>
      <c r="I10" s="56"/>
      <c r="J10" s="97"/>
      <c r="K10" s="53"/>
    </row>
    <row r="11" spans="2:11" s="25" customFormat="1" ht="21.75" customHeight="1" thickBot="1">
      <c r="B11" s="46"/>
      <c r="C11" s="234" t="s">
        <v>6</v>
      </c>
      <c r="D11" s="235"/>
      <c r="E11" s="236"/>
      <c r="F11" s="234" t="s">
        <v>7</v>
      </c>
      <c r="G11" s="237"/>
      <c r="H11" s="237"/>
      <c r="I11" s="235"/>
      <c r="J11" s="236"/>
      <c r="K11" s="47"/>
    </row>
    <row r="12" spans="2:11" s="25" customFormat="1" ht="28.5" customHeight="1" thickBot="1">
      <c r="B12" s="46"/>
      <c r="C12" s="211" t="s">
        <v>1</v>
      </c>
      <c r="D12" s="208" t="s">
        <v>9</v>
      </c>
      <c r="E12" s="211" t="s">
        <v>38</v>
      </c>
      <c r="F12" s="239" t="s">
        <v>31</v>
      </c>
      <c r="G12" s="211" t="s">
        <v>13</v>
      </c>
      <c r="H12" s="124" t="s">
        <v>25</v>
      </c>
      <c r="I12" s="230" t="s">
        <v>35</v>
      </c>
      <c r="J12" s="231"/>
      <c r="K12" s="47"/>
    </row>
    <row r="13" spans="2:11" s="25" customFormat="1" ht="61.5" customHeight="1" thickBot="1">
      <c r="B13" s="46"/>
      <c r="C13" s="213"/>
      <c r="D13" s="238"/>
      <c r="E13" s="213"/>
      <c r="F13" s="240"/>
      <c r="G13" s="241"/>
      <c r="H13" s="151" t="s">
        <v>36</v>
      </c>
      <c r="I13" s="94" t="s">
        <v>37</v>
      </c>
      <c r="J13" s="152" t="s">
        <v>30</v>
      </c>
      <c r="K13" s="47"/>
    </row>
    <row r="14" spans="2:11" s="38" customFormat="1" ht="14.25" customHeight="1">
      <c r="B14" s="39"/>
      <c r="C14" s="153">
        <v>40603</v>
      </c>
      <c r="D14" s="154" t="s">
        <v>181</v>
      </c>
      <c r="E14" s="155">
        <f>165.63/1.18</f>
        <v>140.364406779661</v>
      </c>
      <c r="F14" s="41" t="s">
        <v>182</v>
      </c>
      <c r="G14" s="156" t="s">
        <v>183</v>
      </c>
      <c r="H14" s="157">
        <v>2</v>
      </c>
      <c r="I14" s="158">
        <v>1</v>
      </c>
      <c r="J14" s="159" t="s">
        <v>184</v>
      </c>
      <c r="K14" s="64"/>
    </row>
    <row r="15" spans="2:11" s="38" customFormat="1" ht="14.25" customHeight="1">
      <c r="B15" s="39"/>
      <c r="C15" s="143">
        <v>40603</v>
      </c>
      <c r="D15" s="150" t="s">
        <v>341</v>
      </c>
      <c r="E15" s="149">
        <v>60</v>
      </c>
      <c r="F15" s="145" t="s">
        <v>343</v>
      </c>
      <c r="G15" s="156" t="s">
        <v>344</v>
      </c>
      <c r="H15" s="148">
        <v>1</v>
      </c>
      <c r="I15" s="144">
        <v>4</v>
      </c>
      <c r="J15" s="147" t="s">
        <v>92</v>
      </c>
      <c r="K15" s="64"/>
    </row>
    <row r="16" spans="2:11" s="38" customFormat="1" ht="14.25" customHeight="1">
      <c r="B16" s="39"/>
      <c r="C16" s="80">
        <v>40603</v>
      </c>
      <c r="D16" s="80" t="s">
        <v>341</v>
      </c>
      <c r="E16" s="87">
        <v>255</v>
      </c>
      <c r="F16" s="173" t="s">
        <v>345</v>
      </c>
      <c r="G16" s="83" t="s">
        <v>346</v>
      </c>
      <c r="H16" s="142">
        <v>1</v>
      </c>
      <c r="I16" s="138">
        <v>4</v>
      </c>
      <c r="J16" s="141" t="s">
        <v>92</v>
      </c>
      <c r="K16" s="64"/>
    </row>
    <row r="17" spans="2:11" s="38" customFormat="1" ht="14.25" customHeight="1">
      <c r="B17" s="39"/>
      <c r="C17" s="80">
        <v>40603</v>
      </c>
      <c r="D17" s="85" t="s">
        <v>341</v>
      </c>
      <c r="E17" s="87">
        <v>60</v>
      </c>
      <c r="F17" s="169" t="s">
        <v>347</v>
      </c>
      <c r="G17" s="83" t="s">
        <v>348</v>
      </c>
      <c r="H17" s="142">
        <v>1</v>
      </c>
      <c r="I17" s="138">
        <v>4</v>
      </c>
      <c r="J17" s="141" t="s">
        <v>92</v>
      </c>
      <c r="K17" s="64"/>
    </row>
    <row r="18" spans="2:11" s="38" customFormat="1" ht="14.25" customHeight="1">
      <c r="B18" s="39"/>
      <c r="C18" s="80">
        <v>40603</v>
      </c>
      <c r="D18" s="85" t="s">
        <v>341</v>
      </c>
      <c r="E18" s="87">
        <v>40</v>
      </c>
      <c r="F18" s="169" t="s">
        <v>349</v>
      </c>
      <c r="G18" s="83" t="s">
        <v>350</v>
      </c>
      <c r="H18" s="142">
        <v>1</v>
      </c>
      <c r="I18" s="138">
        <v>4</v>
      </c>
      <c r="J18" s="141" t="s">
        <v>92</v>
      </c>
      <c r="K18" s="64"/>
    </row>
    <row r="19" spans="2:11" s="38" customFormat="1" ht="12.75" customHeight="1">
      <c r="B19" s="39"/>
      <c r="C19" s="80">
        <v>40604</v>
      </c>
      <c r="D19" s="85" t="s">
        <v>181</v>
      </c>
      <c r="E19" s="87">
        <f>57.5/1.18</f>
        <v>48.728813559322035</v>
      </c>
      <c r="F19" s="5" t="s">
        <v>185</v>
      </c>
      <c r="G19" s="83" t="s">
        <v>186</v>
      </c>
      <c r="H19" s="142">
        <v>2</v>
      </c>
      <c r="I19" s="138">
        <v>1</v>
      </c>
      <c r="J19" s="141" t="s">
        <v>187</v>
      </c>
      <c r="K19" s="64"/>
    </row>
    <row r="20" spans="2:13" s="38" customFormat="1" ht="13.5" customHeight="1">
      <c r="B20" s="39"/>
      <c r="C20" s="143">
        <v>40608</v>
      </c>
      <c r="D20" s="150" t="s">
        <v>181</v>
      </c>
      <c r="E20" s="149">
        <f>30/1.18</f>
        <v>25.423728813559322</v>
      </c>
      <c r="F20" s="145" t="s">
        <v>188</v>
      </c>
      <c r="G20" s="83" t="s">
        <v>189</v>
      </c>
      <c r="H20" s="148">
        <v>2</v>
      </c>
      <c r="I20" s="144">
        <v>1</v>
      </c>
      <c r="J20" s="147" t="s">
        <v>190</v>
      </c>
      <c r="K20" s="64"/>
      <c r="M20" s="38">
        <f>+SUMIF(H14:H28,1,E14:E28)</f>
        <v>580</v>
      </c>
    </row>
    <row r="21" spans="2:13" s="38" customFormat="1" ht="12.75">
      <c r="B21" s="39"/>
      <c r="C21" s="80">
        <v>40608</v>
      </c>
      <c r="D21" s="85" t="s">
        <v>181</v>
      </c>
      <c r="E21" s="87">
        <f>18/1.18</f>
        <v>15.254237288135593</v>
      </c>
      <c r="F21" s="5" t="s">
        <v>191</v>
      </c>
      <c r="G21" s="83" t="s">
        <v>192</v>
      </c>
      <c r="H21" s="142">
        <v>2</v>
      </c>
      <c r="I21" s="138">
        <v>1</v>
      </c>
      <c r="J21" s="141" t="s">
        <v>193</v>
      </c>
      <c r="K21" s="64"/>
      <c r="M21" s="175">
        <f>+SUMIF(H14:H28,2,E14:E28)</f>
        <v>843.8389830508474</v>
      </c>
    </row>
    <row r="22" spans="2:11" s="38" customFormat="1" ht="12.75">
      <c r="B22" s="39"/>
      <c r="C22" s="171">
        <v>40608</v>
      </c>
      <c r="D22" s="179" t="s">
        <v>266</v>
      </c>
      <c r="E22" s="155">
        <v>15</v>
      </c>
      <c r="F22" s="181" t="s">
        <v>256</v>
      </c>
      <c r="G22" s="182" t="s">
        <v>257</v>
      </c>
      <c r="H22" s="166">
        <v>1</v>
      </c>
      <c r="I22" s="158">
        <v>2</v>
      </c>
      <c r="J22" s="159" t="s">
        <v>258</v>
      </c>
      <c r="K22" s="64"/>
    </row>
    <row r="23" spans="2:11" s="38" customFormat="1" ht="12.75">
      <c r="B23" s="39"/>
      <c r="C23" s="80">
        <v>40608</v>
      </c>
      <c r="D23" s="85" t="s">
        <v>267</v>
      </c>
      <c r="E23" s="87">
        <f>11/1.18</f>
        <v>9.322033898305085</v>
      </c>
      <c r="F23" s="5" t="s">
        <v>270</v>
      </c>
      <c r="G23" s="83" t="s">
        <v>271</v>
      </c>
      <c r="H23" s="142">
        <v>2</v>
      </c>
      <c r="I23" s="138">
        <v>1</v>
      </c>
      <c r="J23" s="141" t="s">
        <v>273</v>
      </c>
      <c r="K23" s="64"/>
    </row>
    <row r="24" spans="2:11" s="38" customFormat="1" ht="12.75">
      <c r="B24" s="39"/>
      <c r="C24" s="80">
        <v>40609</v>
      </c>
      <c r="D24" s="85" t="s">
        <v>267</v>
      </c>
      <c r="E24" s="87">
        <f>19/1.18</f>
        <v>16.10169491525424</v>
      </c>
      <c r="F24" s="5" t="s">
        <v>270</v>
      </c>
      <c r="G24" s="83" t="s">
        <v>271</v>
      </c>
      <c r="H24" s="142">
        <v>2</v>
      </c>
      <c r="I24" s="138">
        <v>1</v>
      </c>
      <c r="J24" s="141" t="s">
        <v>272</v>
      </c>
      <c r="K24" s="64"/>
    </row>
    <row r="25" spans="2:11" s="38" customFormat="1" ht="14.25" customHeight="1">
      <c r="B25" s="39"/>
      <c r="C25" s="80">
        <v>40609</v>
      </c>
      <c r="D25" s="85" t="s">
        <v>369</v>
      </c>
      <c r="E25" s="87">
        <f>33.8/1.18</f>
        <v>28.64406779661017</v>
      </c>
      <c r="F25" s="5" t="s">
        <v>303</v>
      </c>
      <c r="G25" s="83" t="s">
        <v>304</v>
      </c>
      <c r="H25" s="142">
        <v>2</v>
      </c>
      <c r="I25" s="138">
        <v>1</v>
      </c>
      <c r="J25" s="141" t="s">
        <v>305</v>
      </c>
      <c r="K25" s="64"/>
    </row>
    <row r="26" spans="2:11" s="38" customFormat="1" ht="12.75" customHeight="1">
      <c r="B26" s="39"/>
      <c r="C26" s="80">
        <v>40610</v>
      </c>
      <c r="D26" s="83" t="s">
        <v>173</v>
      </c>
      <c r="E26" s="87">
        <f>70.8/1.18</f>
        <v>60</v>
      </c>
      <c r="F26" s="180" t="s">
        <v>174</v>
      </c>
      <c r="G26" s="184" t="s">
        <v>175</v>
      </c>
      <c r="H26" s="142">
        <v>2</v>
      </c>
      <c r="I26" s="138">
        <v>1</v>
      </c>
      <c r="J26" s="141" t="s">
        <v>176</v>
      </c>
      <c r="K26" s="64"/>
    </row>
    <row r="27" spans="2:11" s="38" customFormat="1" ht="12.75" customHeight="1">
      <c r="B27" s="39"/>
      <c r="C27" s="80">
        <v>40611</v>
      </c>
      <c r="D27" s="85" t="s">
        <v>94</v>
      </c>
      <c r="E27" s="87">
        <v>150</v>
      </c>
      <c r="F27" s="5" t="s">
        <v>90</v>
      </c>
      <c r="G27" s="83" t="s">
        <v>91</v>
      </c>
      <c r="H27" s="142">
        <v>1</v>
      </c>
      <c r="I27" s="138">
        <v>4</v>
      </c>
      <c r="J27" s="141" t="s">
        <v>92</v>
      </c>
      <c r="K27" s="64"/>
    </row>
    <row r="28" spans="2:11" s="38" customFormat="1" ht="12.75" customHeight="1" thickBot="1">
      <c r="B28" s="39"/>
      <c r="C28" s="143">
        <v>40611</v>
      </c>
      <c r="D28" s="150" t="s">
        <v>106</v>
      </c>
      <c r="E28" s="149">
        <v>500</v>
      </c>
      <c r="F28" s="145" t="s">
        <v>103</v>
      </c>
      <c r="G28" s="156" t="s">
        <v>104</v>
      </c>
      <c r="H28" s="148">
        <v>2</v>
      </c>
      <c r="I28" s="144">
        <v>2</v>
      </c>
      <c r="J28" s="147" t="s">
        <v>105</v>
      </c>
      <c r="K28" s="64"/>
    </row>
    <row r="29" spans="2:11" ht="13.5" thickBot="1">
      <c r="B29" s="32"/>
      <c r="C29" s="71"/>
      <c r="D29" s="88"/>
      <c r="E29" s="76">
        <f>SUM(E14:E28)</f>
        <v>1423.8389830508477</v>
      </c>
      <c r="F29" s="71"/>
      <c r="G29" s="72"/>
      <c r="H29" s="72"/>
      <c r="I29" s="72"/>
      <c r="J29" s="101"/>
      <c r="K29" s="53"/>
    </row>
    <row r="30" spans="2:11" ht="12.75">
      <c r="B30" s="32"/>
      <c r="C30" s="18" t="s">
        <v>19</v>
      </c>
      <c r="D30" s="13"/>
      <c r="E30" s="13"/>
      <c r="F30" s="56"/>
      <c r="G30" s="56"/>
      <c r="H30" s="1"/>
      <c r="I30" s="56"/>
      <c r="J30" s="97"/>
      <c r="K30" s="53"/>
    </row>
    <row r="31" spans="2:11" ht="12.75">
      <c r="B31" s="32"/>
      <c r="C31" s="24"/>
      <c r="D31" s="1"/>
      <c r="E31" s="1"/>
      <c r="F31" s="56"/>
      <c r="G31" s="56"/>
      <c r="H31" s="1"/>
      <c r="I31" s="56"/>
      <c r="J31" s="97"/>
      <c r="K31" s="53"/>
    </row>
    <row r="32" spans="2:11" ht="12.75">
      <c r="B32" s="32"/>
      <c r="C32" s="1"/>
      <c r="D32" s="1"/>
      <c r="E32" s="1"/>
      <c r="F32" s="56"/>
      <c r="G32" s="56"/>
      <c r="H32" s="14"/>
      <c r="I32" s="56"/>
      <c r="J32" s="97"/>
      <c r="K32" s="53"/>
    </row>
    <row r="33" spans="2:11" ht="16.5" customHeight="1">
      <c r="B33" s="32"/>
      <c r="C33" s="190"/>
      <c r="D33" s="190"/>
      <c r="E33" s="1"/>
      <c r="F33" s="56"/>
      <c r="G33" s="56"/>
      <c r="H33" s="1"/>
      <c r="I33" s="56"/>
      <c r="J33" s="97"/>
      <c r="K33" s="53"/>
    </row>
    <row r="34" spans="2:11" ht="12.75">
      <c r="B34" s="32"/>
      <c r="C34" s="15" t="s">
        <v>12</v>
      </c>
      <c r="D34" s="1"/>
      <c r="E34" s="14"/>
      <c r="F34" s="63"/>
      <c r="G34" s="63"/>
      <c r="H34" s="24"/>
      <c r="I34" s="62"/>
      <c r="J34" s="97"/>
      <c r="K34" s="53"/>
    </row>
    <row r="35" spans="2:11" ht="12.75">
      <c r="B35" s="32"/>
      <c r="C35" s="115" t="s">
        <v>359</v>
      </c>
      <c r="D35" s="1"/>
      <c r="E35" s="14"/>
      <c r="F35" s="56"/>
      <c r="G35" s="56"/>
      <c r="H35" s="24"/>
      <c r="I35" s="22"/>
      <c r="J35" s="102"/>
      <c r="K35" s="53"/>
    </row>
    <row r="36" spans="2:11" ht="12.75">
      <c r="B36" s="32"/>
      <c r="C36" s="115" t="s">
        <v>360</v>
      </c>
      <c r="D36" s="1"/>
      <c r="E36" s="14"/>
      <c r="F36" s="56"/>
      <c r="G36" s="56"/>
      <c r="H36" s="24"/>
      <c r="I36" s="22"/>
      <c r="J36" s="102"/>
      <c r="K36" s="53"/>
    </row>
    <row r="37" spans="2:11" ht="12.75">
      <c r="B37" s="32"/>
      <c r="C37" s="115" t="s">
        <v>361</v>
      </c>
      <c r="D37" s="1"/>
      <c r="E37" s="14"/>
      <c r="F37" s="56"/>
      <c r="G37" s="56"/>
      <c r="H37" s="24"/>
      <c r="I37" s="22"/>
      <c r="J37" s="102"/>
      <c r="K37" s="53"/>
    </row>
    <row r="38" spans="2:11" ht="9" customHeight="1">
      <c r="B38" s="32"/>
      <c r="C38" s="42"/>
      <c r="D38" s="1"/>
      <c r="E38" s="14"/>
      <c r="F38" s="56"/>
      <c r="G38" s="56"/>
      <c r="H38" s="24"/>
      <c r="I38" s="22"/>
      <c r="J38" s="102"/>
      <c r="K38" s="53"/>
    </row>
    <row r="39" spans="2:11" ht="12.75">
      <c r="B39" s="52"/>
      <c r="C39" s="49" t="s">
        <v>15</v>
      </c>
      <c r="D39" s="24"/>
      <c r="E39" s="24"/>
      <c r="F39" s="24"/>
      <c r="G39" s="24"/>
      <c r="H39" s="24"/>
      <c r="I39" s="24"/>
      <c r="J39" s="103"/>
      <c r="K39" s="53"/>
    </row>
    <row r="40" spans="2:11" ht="12.75">
      <c r="B40" s="52"/>
      <c r="C40" s="24"/>
      <c r="D40" s="24"/>
      <c r="E40" s="24"/>
      <c r="F40" s="24"/>
      <c r="G40" s="24"/>
      <c r="H40" s="24"/>
      <c r="I40" s="24"/>
      <c r="J40" s="103"/>
      <c r="K40" s="53"/>
    </row>
    <row r="41" spans="2:11" ht="12.75">
      <c r="B41" s="52"/>
      <c r="C41" s="49" t="s">
        <v>6</v>
      </c>
      <c r="D41" s="89"/>
      <c r="E41" s="89"/>
      <c r="F41" s="89"/>
      <c r="G41" s="89"/>
      <c r="H41" s="24"/>
      <c r="I41" s="24"/>
      <c r="J41" s="103"/>
      <c r="K41" s="53"/>
    </row>
    <row r="42" spans="2:11" ht="12.75">
      <c r="B42" s="52"/>
      <c r="C42" s="49" t="s">
        <v>34</v>
      </c>
      <c r="D42" s="89"/>
      <c r="E42" s="89"/>
      <c r="F42" s="89"/>
      <c r="G42" s="89"/>
      <c r="H42" s="122"/>
      <c r="I42" s="24"/>
      <c r="J42" s="103"/>
      <c r="K42" s="53"/>
    </row>
    <row r="43" spans="2:11" ht="12.75">
      <c r="B43" s="52"/>
      <c r="C43" s="49" t="s">
        <v>4</v>
      </c>
      <c r="D43" s="89"/>
      <c r="E43" s="89"/>
      <c r="F43" s="89"/>
      <c r="G43" s="89"/>
      <c r="H43" s="123"/>
      <c r="I43" s="24"/>
      <c r="J43" s="103"/>
      <c r="K43" s="53"/>
    </row>
    <row r="44" spans="2:11" ht="25.5" customHeight="1">
      <c r="B44" s="52"/>
      <c r="C44" s="232" t="s">
        <v>32</v>
      </c>
      <c r="D44" s="232"/>
      <c r="E44" s="232"/>
      <c r="F44" s="232"/>
      <c r="G44" s="232"/>
      <c r="H44" s="232"/>
      <c r="I44" s="232"/>
      <c r="J44" s="232"/>
      <c r="K44" s="53"/>
    </row>
    <row r="45" spans="2:11" ht="35.25" customHeight="1">
      <c r="B45" s="52"/>
      <c r="C45" s="233" t="s">
        <v>33</v>
      </c>
      <c r="D45" s="233"/>
      <c r="E45" s="233"/>
      <c r="F45" s="233"/>
      <c r="G45" s="233"/>
      <c r="H45" s="233"/>
      <c r="I45" s="233"/>
      <c r="J45" s="233"/>
      <c r="K45" s="53"/>
    </row>
    <row r="46" spans="2:11" ht="12.75">
      <c r="B46" s="52"/>
      <c r="C46" s="49" t="s">
        <v>11</v>
      </c>
      <c r="D46" s="51"/>
      <c r="E46" s="51"/>
      <c r="F46" s="51"/>
      <c r="G46" s="51"/>
      <c r="H46" s="14"/>
      <c r="I46" s="24"/>
      <c r="J46" s="103"/>
      <c r="K46" s="53"/>
    </row>
    <row r="47" spans="2:11" ht="12.75">
      <c r="B47" s="32"/>
      <c r="C47" s="14"/>
      <c r="D47" s="14"/>
      <c r="E47" s="14"/>
      <c r="F47" s="62"/>
      <c r="G47" s="62"/>
      <c r="H47" s="14"/>
      <c r="I47" s="24"/>
      <c r="J47" s="103"/>
      <c r="K47" s="53"/>
    </row>
    <row r="48" spans="2:11" ht="12.75">
      <c r="B48" s="32"/>
      <c r="C48" s="49" t="s">
        <v>8</v>
      </c>
      <c r="D48" s="51"/>
      <c r="E48" s="51"/>
      <c r="F48" s="51"/>
      <c r="G48" s="51"/>
      <c r="H48" s="14"/>
      <c r="I48" s="24"/>
      <c r="J48" s="103"/>
      <c r="K48" s="34"/>
    </row>
    <row r="49" spans="2:11" ht="13.5" customHeight="1">
      <c r="B49" s="32"/>
      <c r="C49" s="49" t="s">
        <v>20</v>
      </c>
      <c r="D49" s="90"/>
      <c r="E49" s="90"/>
      <c r="F49" s="90"/>
      <c r="G49" s="90"/>
      <c r="H49" s="14"/>
      <c r="I49" s="24"/>
      <c r="J49" s="103"/>
      <c r="K49" s="34"/>
    </row>
    <row r="50" spans="2:11" ht="13.5" customHeight="1">
      <c r="B50" s="32"/>
      <c r="C50" s="134" t="s">
        <v>43</v>
      </c>
      <c r="D50" s="49"/>
      <c r="E50" s="49"/>
      <c r="F50" s="49"/>
      <c r="G50" s="49"/>
      <c r="H50" s="14"/>
      <c r="I50" s="24"/>
      <c r="J50" s="103"/>
      <c r="K50" s="34"/>
    </row>
    <row r="51" spans="2:11" ht="13.5" customHeight="1">
      <c r="B51" s="32"/>
      <c r="C51" s="49" t="s">
        <v>41</v>
      </c>
      <c r="D51" s="16"/>
      <c r="E51" s="16"/>
      <c r="F51" s="16"/>
      <c r="G51" s="16"/>
      <c r="H51" s="14"/>
      <c r="I51" s="1"/>
      <c r="J51" s="104"/>
      <c r="K51" s="34"/>
    </row>
    <row r="52" spans="2:11" ht="6.75" customHeight="1" thickBot="1">
      <c r="B52" s="35"/>
      <c r="C52" s="21"/>
      <c r="D52" s="65"/>
      <c r="E52" s="65"/>
      <c r="F52" s="65"/>
      <c r="G52" s="65"/>
      <c r="H52" s="129"/>
      <c r="I52" s="21"/>
      <c r="J52" s="105"/>
      <c r="K52" s="66"/>
    </row>
    <row r="90" spans="2:10" ht="12.75">
      <c r="B90" s="32"/>
      <c r="D90" s="17"/>
      <c r="E90" s="17"/>
      <c r="F90" s="17"/>
      <c r="G90" s="17"/>
      <c r="I90" s="1"/>
      <c r="J90" s="106"/>
    </row>
    <row r="91" spans="2:10" ht="12.75">
      <c r="B91" s="32"/>
      <c r="D91" s="23"/>
      <c r="E91" s="23"/>
      <c r="F91" s="23"/>
      <c r="G91" s="23"/>
      <c r="I91" s="1"/>
      <c r="J91" s="106"/>
    </row>
    <row r="92" spans="2:10" ht="12.75">
      <c r="B92" s="32"/>
      <c r="D92" s="23"/>
      <c r="E92" s="23"/>
      <c r="F92" s="23"/>
      <c r="G92" s="23"/>
      <c r="I92" s="1"/>
      <c r="J92" s="106"/>
    </row>
    <row r="93" spans="2:10" ht="12.75">
      <c r="B93" s="32"/>
      <c r="D93" s="2"/>
      <c r="E93" s="2"/>
      <c r="F93" s="2"/>
      <c r="G93" s="2"/>
      <c r="I93" s="1"/>
      <c r="J93" s="106"/>
    </row>
  </sheetData>
  <sheetProtection/>
  <mergeCells count="13">
    <mergeCell ref="E12:E13"/>
    <mergeCell ref="F12:F13"/>
    <mergeCell ref="G12:G13"/>
    <mergeCell ref="I12:J12"/>
    <mergeCell ref="C44:J44"/>
    <mergeCell ref="C45:J45"/>
    <mergeCell ref="C4:J4"/>
    <mergeCell ref="C5:J5"/>
    <mergeCell ref="C6:J6"/>
    <mergeCell ref="C11:E11"/>
    <mergeCell ref="F11:J11"/>
    <mergeCell ref="C12:C13"/>
    <mergeCell ref="D12:D13"/>
  </mergeCells>
  <dataValidations count="6">
    <dataValidation type="whole" allowBlank="1" showInputMessage="1" showErrorMessage="1" errorTitle="Error en código de sustento" error="Verifique los códigos válidos en la tabla CÓDIGO DE SUSTENTO&#10;&#10;" sqref="I46:I65536 I1:I11 I23 I29:I44">
      <formula1>1</formula1>
      <formula2>4</formula2>
    </dataValidation>
    <dataValidation type="whole" allowBlank="1" showInputMessage="1" showErrorMessage="1" sqref="H46:H65536 H1:H8 H10:H12 H14:H43">
      <formula1>1</formula1>
      <formula2>2</formula2>
    </dataValidation>
    <dataValidation type="decimal" operator="greaterThanOrEqual" allowBlank="1" showInputMessage="1" showErrorMessage="1" errorTitle="Error en el Importe" error="Ingresar valores numéricos y mayores de 0" sqref="E14:E28">
      <formula1>0</formula1>
    </dataValidation>
    <dataValidation allowBlank="1" showInputMessage="1" showErrorMessage="1" errorTitle="Error en RUC" error="Verifique que la longitud del RUC sea de 11 dígitos" sqref="G14:G28"/>
    <dataValidation type="whole" allowBlank="1" showInputMessage="1" showErrorMessage="1" errorTitle="Error en código de sustento" error="Verificar el código del documento de sustento según la tabla CODIGO DE SUSTENTO" sqref="I24:I28 I14:I22">
      <formula1>1</formula1>
      <formula2>4</formula2>
    </dataValidation>
    <dataValidation allowBlank="1" showInputMessage="1" showErrorMessage="1" errorTitle="Error en código de sustento" error="Verifique los códigos válidos en la tabla CÓDIGO DE SUSTENTO&#10;&#10;" sqref="I12:J12 I13"/>
  </dataValidations>
  <printOptions/>
  <pageMargins left="0.31496062992125984" right="0.31496062992125984" top="0.1968503937007874" bottom="0.17" header="0.31496062992125984" footer="0.17"/>
  <pageSetup horizontalDpi="120" verticalDpi="12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120"/>
  <sheetViews>
    <sheetView zoomScale="75" zoomScaleNormal="75" zoomScalePageLayoutView="0" workbookViewId="0" topLeftCell="A1">
      <selection activeCell="E19" sqref="E19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41.140625" style="0" customWidth="1"/>
    <col min="5" max="5" width="14.8515625" style="0" customWidth="1"/>
    <col min="6" max="6" width="38.00390625" style="54" customWidth="1"/>
    <col min="7" max="7" width="19.140625" style="54" customWidth="1"/>
    <col min="8" max="8" width="17.8515625" style="0" customWidth="1"/>
    <col min="9" max="9" width="13.00390625" style="54" customWidth="1"/>
    <col min="10" max="10" width="20.421875" style="95" customWidth="1"/>
    <col min="11" max="11" width="3.00390625" style="0" customWidth="1"/>
  </cols>
  <sheetData>
    <row r="1" ht="13.5" thickBot="1"/>
    <row r="2" spans="2:11" ht="15.75">
      <c r="B2" s="45"/>
      <c r="C2" s="125" t="s">
        <v>42</v>
      </c>
      <c r="D2" s="126"/>
      <c r="E2" s="28"/>
      <c r="F2" s="55"/>
      <c r="G2" s="55"/>
      <c r="H2" s="28"/>
      <c r="I2" s="135" t="s">
        <v>46</v>
      </c>
      <c r="J2" s="135"/>
      <c r="K2" s="136"/>
    </row>
    <row r="3" spans="2:11" ht="10.5" customHeight="1">
      <c r="B3" s="130"/>
      <c r="C3" s="131"/>
      <c r="D3" s="132"/>
      <c r="E3" s="1"/>
      <c r="F3" s="56"/>
      <c r="G3" s="56"/>
      <c r="H3" s="1"/>
      <c r="I3" s="61"/>
      <c r="J3" s="61"/>
      <c r="K3" s="133"/>
    </row>
    <row r="4" spans="2:11" ht="21" customHeight="1">
      <c r="B4" s="32"/>
      <c r="C4" s="191" t="s">
        <v>17</v>
      </c>
      <c r="D4" s="192"/>
      <c r="E4" s="192"/>
      <c r="F4" s="192"/>
      <c r="G4" s="192"/>
      <c r="H4" s="192"/>
      <c r="I4" s="192"/>
      <c r="J4" s="193"/>
      <c r="K4" s="53"/>
    </row>
    <row r="5" spans="2:11" ht="9.75" customHeight="1">
      <c r="B5" s="32"/>
      <c r="C5" s="194"/>
      <c r="D5" s="194"/>
      <c r="E5" s="194"/>
      <c r="F5" s="194"/>
      <c r="G5" s="194"/>
      <c r="H5" s="194"/>
      <c r="I5" s="194"/>
      <c r="J5" s="194"/>
      <c r="K5" s="53"/>
    </row>
    <row r="6" spans="2:11" ht="9.75" customHeight="1">
      <c r="B6" s="32"/>
      <c r="C6" s="194" t="s">
        <v>368</v>
      </c>
      <c r="D6" s="194"/>
      <c r="E6" s="194"/>
      <c r="F6" s="194"/>
      <c r="G6" s="194"/>
      <c r="H6" s="194"/>
      <c r="I6" s="194"/>
      <c r="J6" s="194"/>
      <c r="K6" s="53"/>
    </row>
    <row r="7" spans="2:11" ht="7.5" customHeight="1">
      <c r="B7" s="32"/>
      <c r="C7" s="26"/>
      <c r="D7" s="26"/>
      <c r="E7" s="26"/>
      <c r="F7" s="26"/>
      <c r="G7" s="26"/>
      <c r="H7" s="26"/>
      <c r="I7" s="26"/>
      <c r="J7" s="96"/>
      <c r="K7" s="53"/>
    </row>
    <row r="8" spans="2:11" ht="12.75">
      <c r="B8" s="32"/>
      <c r="C8" s="15" t="s">
        <v>157</v>
      </c>
      <c r="D8" s="26"/>
      <c r="E8" s="26"/>
      <c r="F8" s="62"/>
      <c r="G8" s="61" t="s">
        <v>158</v>
      </c>
      <c r="H8" s="62"/>
      <c r="I8" s="62"/>
      <c r="J8" s="62"/>
      <c r="K8" s="53"/>
    </row>
    <row r="9" spans="2:11" ht="12.75">
      <c r="B9" s="32"/>
      <c r="C9" s="15" t="s">
        <v>48</v>
      </c>
      <c r="D9" s="26"/>
      <c r="E9" s="26"/>
      <c r="F9" s="26"/>
      <c r="G9" s="50"/>
      <c r="H9" s="50"/>
      <c r="I9" s="13"/>
      <c r="J9" s="102"/>
      <c r="K9" s="53"/>
    </row>
    <row r="10" spans="2:11" ht="13.5" thickBot="1">
      <c r="B10" s="32"/>
      <c r="C10" s="1"/>
      <c r="D10" s="1"/>
      <c r="E10" s="1"/>
      <c r="F10" s="56"/>
      <c r="G10" s="56"/>
      <c r="H10" s="56"/>
      <c r="I10" s="56"/>
      <c r="J10" s="97"/>
      <c r="K10" s="53"/>
    </row>
    <row r="11" spans="2:11" s="25" customFormat="1" ht="21.75" customHeight="1" thickBot="1">
      <c r="B11" s="46"/>
      <c r="C11" s="234" t="s">
        <v>6</v>
      </c>
      <c r="D11" s="235"/>
      <c r="E11" s="236"/>
      <c r="F11" s="234" t="s">
        <v>7</v>
      </c>
      <c r="G11" s="237"/>
      <c r="H11" s="237"/>
      <c r="I11" s="235"/>
      <c r="J11" s="236"/>
      <c r="K11" s="47"/>
    </row>
    <row r="12" spans="2:11" s="25" customFormat="1" ht="28.5" customHeight="1" thickBot="1">
      <c r="B12" s="46"/>
      <c r="C12" s="211" t="s">
        <v>1</v>
      </c>
      <c r="D12" s="208" t="s">
        <v>9</v>
      </c>
      <c r="E12" s="211" t="s">
        <v>38</v>
      </c>
      <c r="F12" s="239" t="s">
        <v>31</v>
      </c>
      <c r="G12" s="211" t="s">
        <v>13</v>
      </c>
      <c r="H12" s="124" t="s">
        <v>25</v>
      </c>
      <c r="I12" s="230" t="s">
        <v>35</v>
      </c>
      <c r="J12" s="231"/>
      <c r="K12" s="47"/>
    </row>
    <row r="13" spans="2:11" s="25" customFormat="1" ht="61.5" customHeight="1" thickBot="1">
      <c r="B13" s="46"/>
      <c r="C13" s="213"/>
      <c r="D13" s="238"/>
      <c r="E13" s="213"/>
      <c r="F13" s="240"/>
      <c r="G13" s="241"/>
      <c r="H13" s="151" t="s">
        <v>36</v>
      </c>
      <c r="I13" s="94" t="s">
        <v>37</v>
      </c>
      <c r="J13" s="152" t="s">
        <v>30</v>
      </c>
      <c r="K13" s="47"/>
    </row>
    <row r="14" spans="2:11" s="38" customFormat="1" ht="12.75" customHeight="1">
      <c r="B14" s="39"/>
      <c r="C14" s="80">
        <v>40611</v>
      </c>
      <c r="D14" s="85" t="s">
        <v>307</v>
      </c>
      <c r="E14" s="87">
        <f>81/1.18</f>
        <v>68.64406779661017</v>
      </c>
      <c r="F14" s="5" t="s">
        <v>306</v>
      </c>
      <c r="G14" s="83" t="s">
        <v>308</v>
      </c>
      <c r="H14" s="142">
        <v>2</v>
      </c>
      <c r="I14" s="138">
        <v>1</v>
      </c>
      <c r="J14" s="141" t="s">
        <v>309</v>
      </c>
      <c r="K14" s="64"/>
    </row>
    <row r="15" spans="2:11" s="38" customFormat="1" ht="12.75">
      <c r="B15" s="39"/>
      <c r="C15" s="80">
        <v>40611</v>
      </c>
      <c r="D15" s="85" t="s">
        <v>341</v>
      </c>
      <c r="E15" s="87">
        <v>165</v>
      </c>
      <c r="F15" s="5" t="s">
        <v>351</v>
      </c>
      <c r="G15" s="83"/>
      <c r="H15" s="142">
        <v>1</v>
      </c>
      <c r="I15" s="138">
        <v>4</v>
      </c>
      <c r="J15" s="141" t="s">
        <v>92</v>
      </c>
      <c r="K15" s="64"/>
    </row>
    <row r="16" spans="2:11" s="38" customFormat="1" ht="12.75">
      <c r="B16" s="39"/>
      <c r="C16" s="73">
        <v>40611</v>
      </c>
      <c r="D16" s="85" t="s">
        <v>341</v>
      </c>
      <c r="E16" s="87">
        <v>280</v>
      </c>
      <c r="F16" s="160" t="s">
        <v>352</v>
      </c>
      <c r="G16" s="83"/>
      <c r="H16" s="142">
        <v>1</v>
      </c>
      <c r="I16" s="138">
        <v>4</v>
      </c>
      <c r="J16" s="141" t="s">
        <v>92</v>
      </c>
      <c r="K16" s="64"/>
    </row>
    <row r="17" spans="2:11" s="38" customFormat="1" ht="12.75">
      <c r="B17" s="39"/>
      <c r="C17" s="80">
        <v>40612</v>
      </c>
      <c r="D17" s="85" t="s">
        <v>320</v>
      </c>
      <c r="E17" s="87">
        <v>23</v>
      </c>
      <c r="F17" s="5" t="s">
        <v>321</v>
      </c>
      <c r="G17" s="156" t="s">
        <v>322</v>
      </c>
      <c r="H17" s="142">
        <v>1</v>
      </c>
      <c r="I17" s="138">
        <v>2</v>
      </c>
      <c r="J17" s="141" t="s">
        <v>323</v>
      </c>
      <c r="K17" s="64"/>
    </row>
    <row r="18" spans="2:11" s="38" customFormat="1" ht="12.75" customHeight="1">
      <c r="B18" s="39"/>
      <c r="C18" s="80">
        <v>40612</v>
      </c>
      <c r="D18" s="85" t="s">
        <v>181</v>
      </c>
      <c r="E18" s="87">
        <f>142.33/1.18</f>
        <v>120.61864406779662</v>
      </c>
      <c r="F18" s="5" t="s">
        <v>182</v>
      </c>
      <c r="G18" s="83" t="s">
        <v>183</v>
      </c>
      <c r="H18" s="142">
        <v>2</v>
      </c>
      <c r="I18" s="138">
        <v>1</v>
      </c>
      <c r="J18" s="141" t="s">
        <v>215</v>
      </c>
      <c r="K18" s="64"/>
    </row>
    <row r="19" spans="2:13" s="38" customFormat="1" ht="12.75" customHeight="1">
      <c r="B19" s="39"/>
      <c r="C19" s="80">
        <v>40612</v>
      </c>
      <c r="D19" s="85" t="s">
        <v>240</v>
      </c>
      <c r="E19" s="87">
        <f>8.9/1.18</f>
        <v>7.5423728813559325</v>
      </c>
      <c r="F19" s="5" t="s">
        <v>239</v>
      </c>
      <c r="G19" s="83" t="s">
        <v>241</v>
      </c>
      <c r="H19" s="142">
        <v>2</v>
      </c>
      <c r="I19" s="138">
        <v>1</v>
      </c>
      <c r="J19" s="141" t="s">
        <v>248</v>
      </c>
      <c r="K19" s="64"/>
      <c r="M19" s="38">
        <f>+SUMIF(H14:H29,1,E14:E29)</f>
        <v>468</v>
      </c>
    </row>
    <row r="20" spans="2:13" s="38" customFormat="1" ht="12.75" customHeight="1">
      <c r="B20" s="39"/>
      <c r="C20" s="80">
        <v>40613</v>
      </c>
      <c r="D20" s="85" t="s">
        <v>164</v>
      </c>
      <c r="E20" s="87">
        <f>23/1.18</f>
        <v>19.491525423728813</v>
      </c>
      <c r="F20" s="5" t="s">
        <v>165</v>
      </c>
      <c r="G20" s="83" t="s">
        <v>166</v>
      </c>
      <c r="H20" s="142">
        <v>2</v>
      </c>
      <c r="I20" s="138">
        <v>1</v>
      </c>
      <c r="J20" s="141" t="s">
        <v>168</v>
      </c>
      <c r="K20" s="64"/>
      <c r="M20" s="175">
        <f>+SUMIF(H14:H29,2,E14:E29)</f>
        <v>513.7881355932204</v>
      </c>
    </row>
    <row r="21" spans="2:11" s="38" customFormat="1" ht="12.75" customHeight="1">
      <c r="B21" s="39"/>
      <c r="C21" s="80">
        <v>40613</v>
      </c>
      <c r="D21" s="85" t="s">
        <v>267</v>
      </c>
      <c r="E21" s="87">
        <f>19.5/1.18</f>
        <v>16.52542372881356</v>
      </c>
      <c r="F21" s="5" t="s">
        <v>270</v>
      </c>
      <c r="G21" s="83" t="s">
        <v>271</v>
      </c>
      <c r="H21" s="142">
        <v>2</v>
      </c>
      <c r="I21" s="138">
        <v>1</v>
      </c>
      <c r="J21" s="141" t="s">
        <v>275</v>
      </c>
      <c r="K21" s="64"/>
    </row>
    <row r="22" spans="2:11" s="38" customFormat="1" ht="12.75" customHeight="1">
      <c r="B22" s="39"/>
      <c r="C22" s="80">
        <v>40615</v>
      </c>
      <c r="D22" s="85" t="s">
        <v>181</v>
      </c>
      <c r="E22" s="87">
        <f>71.28/1.18</f>
        <v>60.406779661016955</v>
      </c>
      <c r="F22" s="5" t="s">
        <v>194</v>
      </c>
      <c r="G22" s="83" t="s">
        <v>195</v>
      </c>
      <c r="H22" s="142">
        <v>2</v>
      </c>
      <c r="I22" s="138">
        <v>1</v>
      </c>
      <c r="J22" s="141" t="s">
        <v>196</v>
      </c>
      <c r="K22" s="64"/>
    </row>
    <row r="23" spans="2:11" s="38" customFormat="1" ht="12.75" customHeight="1">
      <c r="B23" s="39"/>
      <c r="C23" s="73">
        <v>40615</v>
      </c>
      <c r="D23" s="169" t="s">
        <v>181</v>
      </c>
      <c r="E23" s="87">
        <f>15.69/1.18</f>
        <v>13.296610169491526</v>
      </c>
      <c r="F23" s="5" t="s">
        <v>197</v>
      </c>
      <c r="G23" s="162" t="s">
        <v>195</v>
      </c>
      <c r="H23" s="167">
        <v>2</v>
      </c>
      <c r="I23" s="138">
        <v>1</v>
      </c>
      <c r="J23" s="141" t="s">
        <v>198</v>
      </c>
      <c r="K23" s="64"/>
    </row>
    <row r="24" spans="2:11" s="38" customFormat="1" ht="12.75" customHeight="1">
      <c r="B24" s="39"/>
      <c r="C24" s="80">
        <v>40617</v>
      </c>
      <c r="D24" s="85" t="s">
        <v>267</v>
      </c>
      <c r="E24" s="87">
        <f>19.5/1.18</f>
        <v>16.52542372881356</v>
      </c>
      <c r="F24" s="5" t="s">
        <v>270</v>
      </c>
      <c r="G24" s="83" t="s">
        <v>271</v>
      </c>
      <c r="H24" s="142">
        <v>2</v>
      </c>
      <c r="I24" s="138">
        <v>1</v>
      </c>
      <c r="J24" s="141" t="s">
        <v>274</v>
      </c>
      <c r="K24" s="64"/>
    </row>
    <row r="25" spans="2:11" s="38" customFormat="1" ht="14.25" customHeight="1">
      <c r="B25" s="39"/>
      <c r="C25" s="80">
        <v>40618</v>
      </c>
      <c r="D25" s="85" t="s">
        <v>177</v>
      </c>
      <c r="E25" s="87">
        <f>14/1.18</f>
        <v>11.864406779661017</v>
      </c>
      <c r="F25" s="5" t="s">
        <v>178</v>
      </c>
      <c r="G25" s="83" t="s">
        <v>179</v>
      </c>
      <c r="H25" s="142">
        <v>2</v>
      </c>
      <c r="I25" s="138">
        <v>1</v>
      </c>
      <c r="J25" s="141" t="s">
        <v>180</v>
      </c>
      <c r="K25" s="64"/>
    </row>
    <row r="26" spans="2:11" s="38" customFormat="1" ht="12.75" customHeight="1">
      <c r="B26" s="39"/>
      <c r="C26" s="80">
        <v>40619</v>
      </c>
      <c r="D26" s="85" t="s">
        <v>181</v>
      </c>
      <c r="E26" s="87">
        <f>175.17/1.18</f>
        <v>148.44915254237287</v>
      </c>
      <c r="F26" s="5" t="s">
        <v>182</v>
      </c>
      <c r="G26" s="156" t="s">
        <v>183</v>
      </c>
      <c r="H26" s="142">
        <v>2</v>
      </c>
      <c r="I26" s="138">
        <v>1</v>
      </c>
      <c r="J26" s="141" t="s">
        <v>216</v>
      </c>
      <c r="K26" s="64"/>
    </row>
    <row r="27" spans="2:11" s="38" customFormat="1" ht="13.5" customHeight="1">
      <c r="B27" s="39"/>
      <c r="C27" s="80">
        <v>40619</v>
      </c>
      <c r="D27" s="85" t="s">
        <v>320</v>
      </c>
      <c r="E27" s="74">
        <f>7/1.18</f>
        <v>5.932203389830509</v>
      </c>
      <c r="F27" s="5" t="s">
        <v>321</v>
      </c>
      <c r="G27" s="83" t="s">
        <v>322</v>
      </c>
      <c r="H27" s="142">
        <v>2</v>
      </c>
      <c r="I27" s="138">
        <v>1</v>
      </c>
      <c r="J27" s="141" t="s">
        <v>331</v>
      </c>
      <c r="K27" s="64"/>
    </row>
    <row r="28" spans="2:11" s="38" customFormat="1" ht="12.75">
      <c r="B28" s="39"/>
      <c r="C28" s="73">
        <v>40619</v>
      </c>
      <c r="D28" s="85" t="s">
        <v>320</v>
      </c>
      <c r="E28" s="74">
        <f>20/1.18</f>
        <v>16.949152542372882</v>
      </c>
      <c r="F28" s="83" t="s">
        <v>321</v>
      </c>
      <c r="G28" s="83" t="s">
        <v>322</v>
      </c>
      <c r="H28" s="142">
        <v>2</v>
      </c>
      <c r="I28" s="138">
        <v>1</v>
      </c>
      <c r="J28" s="141" t="s">
        <v>332</v>
      </c>
      <c r="K28" s="64"/>
    </row>
    <row r="29" spans="2:11" s="38" customFormat="1" ht="13.5" thickBot="1">
      <c r="B29" s="39"/>
      <c r="C29" s="80">
        <v>40620</v>
      </c>
      <c r="D29" s="85" t="s">
        <v>240</v>
      </c>
      <c r="E29" s="87">
        <f>8.9/1.18</f>
        <v>7.5423728813559325</v>
      </c>
      <c r="F29" s="145" t="s">
        <v>239</v>
      </c>
      <c r="G29" s="83" t="s">
        <v>241</v>
      </c>
      <c r="H29" s="142">
        <v>2</v>
      </c>
      <c r="I29" s="138">
        <v>1</v>
      </c>
      <c r="J29" s="141" t="s">
        <v>244</v>
      </c>
      <c r="K29" s="64"/>
    </row>
    <row r="30" spans="2:11" ht="13.5" hidden="1" thickBot="1">
      <c r="B30" s="32"/>
      <c r="C30" s="3"/>
      <c r="D30" s="48"/>
      <c r="E30" s="44"/>
      <c r="F30" s="57"/>
      <c r="G30" s="57"/>
      <c r="H30" s="43"/>
      <c r="I30" s="58"/>
      <c r="J30" s="98"/>
      <c r="K30" s="53"/>
    </row>
    <row r="31" spans="2:11" ht="13.5" hidden="1" thickBot="1">
      <c r="B31" s="32"/>
      <c r="C31" s="20"/>
      <c r="D31" s="19"/>
      <c r="E31" s="7"/>
      <c r="F31" s="59"/>
      <c r="G31" s="59"/>
      <c r="H31" s="6"/>
      <c r="I31" s="60"/>
      <c r="J31" s="99"/>
      <c r="K31" s="53"/>
    </row>
    <row r="32" spans="2:11" ht="13.5" hidden="1" thickBot="1">
      <c r="B32" s="32"/>
      <c r="C32" s="20"/>
      <c r="D32" s="19"/>
      <c r="E32" s="7"/>
      <c r="F32" s="59"/>
      <c r="G32" s="59"/>
      <c r="H32" s="6"/>
      <c r="I32" s="60"/>
      <c r="J32" s="99"/>
      <c r="K32" s="53"/>
    </row>
    <row r="33" spans="2:11" ht="13.5" hidden="1" thickBot="1">
      <c r="B33" s="32"/>
      <c r="C33" s="20"/>
      <c r="D33" s="19"/>
      <c r="E33" s="7"/>
      <c r="F33" s="59"/>
      <c r="G33" s="59"/>
      <c r="H33" s="6"/>
      <c r="I33" s="60"/>
      <c r="J33" s="99"/>
      <c r="K33" s="53"/>
    </row>
    <row r="34" spans="2:11" ht="13.5" hidden="1" thickBot="1">
      <c r="B34" s="32"/>
      <c r="C34" s="20"/>
      <c r="D34" s="19"/>
      <c r="E34" s="7"/>
      <c r="F34" s="59"/>
      <c r="G34" s="59"/>
      <c r="H34" s="6"/>
      <c r="I34" s="60"/>
      <c r="J34" s="99"/>
      <c r="K34" s="53"/>
    </row>
    <row r="35" spans="2:11" ht="13.5" hidden="1" thickBot="1">
      <c r="B35" s="32"/>
      <c r="C35" s="20"/>
      <c r="D35" s="19"/>
      <c r="E35" s="7"/>
      <c r="F35" s="59"/>
      <c r="G35" s="59"/>
      <c r="H35" s="6"/>
      <c r="I35" s="60"/>
      <c r="J35" s="99"/>
      <c r="K35" s="53"/>
    </row>
    <row r="36" spans="2:11" ht="13.5" hidden="1" thickBot="1">
      <c r="B36" s="32"/>
      <c r="C36" s="20"/>
      <c r="D36" s="19"/>
      <c r="E36" s="7"/>
      <c r="F36" s="59"/>
      <c r="G36" s="59"/>
      <c r="H36" s="6"/>
      <c r="I36" s="60"/>
      <c r="J36" s="99"/>
      <c r="K36" s="53"/>
    </row>
    <row r="37" spans="2:11" ht="13.5" hidden="1" thickBot="1">
      <c r="B37" s="32"/>
      <c r="C37" s="20"/>
      <c r="D37" s="19"/>
      <c r="E37" s="7"/>
      <c r="F37" s="59"/>
      <c r="G37" s="59"/>
      <c r="H37" s="6"/>
      <c r="I37" s="60"/>
      <c r="J37" s="99"/>
      <c r="K37" s="53"/>
    </row>
    <row r="38" spans="2:11" ht="13.5" hidden="1" thickBot="1">
      <c r="B38" s="32"/>
      <c r="C38" s="20"/>
      <c r="D38" s="19"/>
      <c r="E38" s="7"/>
      <c r="F38" s="59"/>
      <c r="G38" s="59"/>
      <c r="H38" s="6"/>
      <c r="I38" s="60"/>
      <c r="J38" s="99"/>
      <c r="K38" s="53"/>
    </row>
    <row r="39" spans="2:11" ht="13.5" hidden="1" thickBot="1">
      <c r="B39" s="32"/>
      <c r="C39" s="20"/>
      <c r="D39" s="19"/>
      <c r="E39" s="7"/>
      <c r="F39" s="59"/>
      <c r="G39" s="59"/>
      <c r="H39" s="6"/>
      <c r="I39" s="60"/>
      <c r="J39" s="99"/>
      <c r="K39" s="53"/>
    </row>
    <row r="40" spans="2:11" ht="13.5" hidden="1" thickBot="1">
      <c r="B40" s="32"/>
      <c r="C40" s="20"/>
      <c r="D40" s="19"/>
      <c r="E40" s="7"/>
      <c r="F40" s="59"/>
      <c r="G40" s="59"/>
      <c r="H40" s="6"/>
      <c r="I40" s="60"/>
      <c r="J40" s="99"/>
      <c r="K40" s="53"/>
    </row>
    <row r="41" spans="2:11" ht="13.5" hidden="1" thickBot="1">
      <c r="B41" s="32"/>
      <c r="C41" s="20"/>
      <c r="D41" s="19"/>
      <c r="E41" s="7"/>
      <c r="F41" s="59"/>
      <c r="G41" s="59"/>
      <c r="H41" s="6"/>
      <c r="I41" s="60"/>
      <c r="J41" s="99"/>
      <c r="K41" s="53"/>
    </row>
    <row r="42" spans="2:11" ht="13.5" hidden="1" thickBot="1">
      <c r="B42" s="32"/>
      <c r="C42" s="20"/>
      <c r="D42" s="19"/>
      <c r="E42" s="7"/>
      <c r="F42" s="59"/>
      <c r="G42" s="59"/>
      <c r="H42" s="6"/>
      <c r="I42" s="60"/>
      <c r="J42" s="99"/>
      <c r="K42" s="53"/>
    </row>
    <row r="43" spans="2:11" ht="13.5" hidden="1" thickBot="1">
      <c r="B43" s="32"/>
      <c r="C43" s="20"/>
      <c r="D43" s="19"/>
      <c r="E43" s="7"/>
      <c r="F43" s="59"/>
      <c r="G43" s="59"/>
      <c r="H43" s="91"/>
      <c r="I43" s="60"/>
      <c r="J43" s="99"/>
      <c r="K43" s="53"/>
    </row>
    <row r="44" spans="2:11" ht="13.5" hidden="1" thickBot="1">
      <c r="B44" s="32"/>
      <c r="C44" s="20"/>
      <c r="D44" s="19"/>
      <c r="E44" s="7"/>
      <c r="F44" s="59"/>
      <c r="G44" s="59"/>
      <c r="H44" s="1"/>
      <c r="I44" s="60"/>
      <c r="J44" s="99"/>
      <c r="K44" s="53"/>
    </row>
    <row r="45" spans="2:11" ht="13.5" hidden="1" thickBot="1">
      <c r="B45" s="32"/>
      <c r="C45" s="20"/>
      <c r="D45" s="19"/>
      <c r="E45" s="7"/>
      <c r="F45" s="59"/>
      <c r="G45" s="59"/>
      <c r="H45" s="1"/>
      <c r="I45" s="60"/>
      <c r="J45" s="99"/>
      <c r="K45" s="53"/>
    </row>
    <row r="46" spans="2:11" ht="13.5" hidden="1" thickBot="1">
      <c r="B46" s="32"/>
      <c r="C46" s="20"/>
      <c r="D46" s="19"/>
      <c r="E46" s="7"/>
      <c r="F46" s="59"/>
      <c r="G46" s="59"/>
      <c r="H46" s="1"/>
      <c r="I46" s="60"/>
      <c r="J46" s="99"/>
      <c r="K46" s="53"/>
    </row>
    <row r="47" spans="2:11" ht="13.5" hidden="1" thickBot="1">
      <c r="B47" s="32"/>
      <c r="C47" s="20"/>
      <c r="D47" s="19"/>
      <c r="E47" s="7"/>
      <c r="F47" s="59"/>
      <c r="G47" s="59"/>
      <c r="H47" s="1"/>
      <c r="I47" s="60"/>
      <c r="J47" s="99"/>
      <c r="K47" s="53"/>
    </row>
    <row r="48" spans="2:11" ht="13.5" hidden="1" thickBot="1">
      <c r="B48" s="32"/>
      <c r="C48" s="20"/>
      <c r="D48" s="19"/>
      <c r="E48" s="7"/>
      <c r="F48" s="59"/>
      <c r="G48" s="59"/>
      <c r="H48" s="1"/>
      <c r="I48" s="60"/>
      <c r="J48" s="99"/>
      <c r="K48" s="53"/>
    </row>
    <row r="49" spans="2:11" ht="13.5" hidden="1" thickBot="1">
      <c r="B49" s="32"/>
      <c r="C49" s="67"/>
      <c r="D49" s="68"/>
      <c r="E49" s="75"/>
      <c r="F49" s="69"/>
      <c r="G49" s="69"/>
      <c r="H49" s="1"/>
      <c r="I49" s="70"/>
      <c r="J49" s="100"/>
      <c r="K49" s="53"/>
    </row>
    <row r="50" spans="2:11" ht="13.5" thickBot="1">
      <c r="B50" s="32"/>
      <c r="C50" s="71"/>
      <c r="D50" s="88"/>
      <c r="E50" s="76">
        <f>+SUM(E14:E29)</f>
        <v>981.7881355932203</v>
      </c>
      <c r="F50" s="71"/>
      <c r="G50" s="72"/>
      <c r="H50" s="72"/>
      <c r="I50" s="72"/>
      <c r="J50" s="101"/>
      <c r="K50" s="53"/>
    </row>
    <row r="51" spans="2:11" ht="12.75">
      <c r="B51" s="32"/>
      <c r="C51" s="18" t="s">
        <v>19</v>
      </c>
      <c r="D51" s="13"/>
      <c r="E51" s="13"/>
      <c r="F51" s="56"/>
      <c r="G51" s="56"/>
      <c r="H51" s="1"/>
      <c r="I51" s="56"/>
      <c r="J51" s="97"/>
      <c r="K51" s="53"/>
    </row>
    <row r="52" spans="2:11" ht="12.75">
      <c r="B52" s="32"/>
      <c r="C52" s="24"/>
      <c r="D52" s="1"/>
      <c r="E52" s="1"/>
      <c r="F52" s="56"/>
      <c r="G52" s="56"/>
      <c r="H52" s="1"/>
      <c r="I52" s="56"/>
      <c r="J52" s="97"/>
      <c r="K52" s="53"/>
    </row>
    <row r="53" spans="2:11" ht="11.25" customHeight="1">
      <c r="B53" s="32"/>
      <c r="C53" s="1"/>
      <c r="D53" s="1"/>
      <c r="E53" s="1"/>
      <c r="F53" s="56"/>
      <c r="G53" s="56"/>
      <c r="H53" s="1"/>
      <c r="I53" s="56"/>
      <c r="J53" s="97"/>
      <c r="K53" s="53"/>
    </row>
    <row r="54" spans="2:11" ht="12.75" hidden="1">
      <c r="B54" s="32"/>
      <c r="C54" s="1"/>
      <c r="D54" s="1"/>
      <c r="E54" s="1"/>
      <c r="F54" s="56"/>
      <c r="G54" s="56"/>
      <c r="H54" s="14"/>
      <c r="I54" s="56"/>
      <c r="J54" s="97"/>
      <c r="K54" s="53"/>
    </row>
    <row r="55" spans="2:11" ht="12.75" hidden="1">
      <c r="B55" s="32"/>
      <c r="C55" s="1"/>
      <c r="D55" s="1"/>
      <c r="E55" s="1"/>
      <c r="F55" s="56"/>
      <c r="G55" s="56"/>
      <c r="H55" s="1"/>
      <c r="I55" s="56"/>
      <c r="J55" s="97"/>
      <c r="K55" s="53"/>
    </row>
    <row r="56" spans="2:11" ht="12.75" hidden="1">
      <c r="B56" s="32"/>
      <c r="C56" s="1"/>
      <c r="D56" s="1"/>
      <c r="E56" s="1"/>
      <c r="F56" s="56"/>
      <c r="G56" s="56"/>
      <c r="H56" s="1"/>
      <c r="I56" s="56"/>
      <c r="J56" s="97"/>
      <c r="K56" s="53"/>
    </row>
    <row r="57" spans="2:11" ht="12.75" hidden="1">
      <c r="B57" s="32"/>
      <c r="C57" s="1"/>
      <c r="D57" s="1"/>
      <c r="E57" s="1"/>
      <c r="F57" s="56"/>
      <c r="G57" s="56"/>
      <c r="H57" s="1"/>
      <c r="I57" s="56"/>
      <c r="J57" s="97"/>
      <c r="K57" s="53"/>
    </row>
    <row r="58" spans="2:11" ht="12.75" hidden="1">
      <c r="B58" s="32"/>
      <c r="C58" s="1"/>
      <c r="D58" s="1"/>
      <c r="E58" s="1"/>
      <c r="F58" s="56"/>
      <c r="G58" s="56"/>
      <c r="H58" s="1"/>
      <c r="I58" s="56"/>
      <c r="J58" s="97"/>
      <c r="K58" s="53"/>
    </row>
    <row r="59" spans="2:11" ht="12.75">
      <c r="B59" s="32"/>
      <c r="C59" s="190"/>
      <c r="D59" s="190"/>
      <c r="E59" s="1"/>
      <c r="F59" s="61"/>
      <c r="G59" s="61"/>
      <c r="H59" s="14"/>
      <c r="I59" s="56"/>
      <c r="J59" s="97"/>
      <c r="K59" s="53"/>
    </row>
    <row r="60" spans="2:11" ht="1.5" customHeight="1">
      <c r="B60" s="32"/>
      <c r="C60" s="1"/>
      <c r="D60" s="1"/>
      <c r="E60" s="14"/>
      <c r="F60" s="63"/>
      <c r="G60" s="63"/>
      <c r="H60" s="24"/>
      <c r="I60" s="62"/>
      <c r="J60" s="102"/>
      <c r="K60" s="53"/>
    </row>
    <row r="61" spans="2:11" ht="12.75">
      <c r="B61" s="32"/>
      <c r="C61" s="15" t="s">
        <v>12</v>
      </c>
      <c r="D61" s="1"/>
      <c r="E61" s="14"/>
      <c r="F61" s="63"/>
      <c r="G61" s="63"/>
      <c r="H61" s="24"/>
      <c r="I61" s="62"/>
      <c r="J61" s="97"/>
      <c r="K61" s="53"/>
    </row>
    <row r="62" spans="2:11" ht="12.75">
      <c r="B62" s="32"/>
      <c r="C62" s="115" t="s">
        <v>359</v>
      </c>
      <c r="D62" s="1"/>
      <c r="E62" s="14"/>
      <c r="F62" s="56"/>
      <c r="G62" s="56"/>
      <c r="H62" s="24"/>
      <c r="I62" s="22"/>
      <c r="J62" s="102"/>
      <c r="K62" s="53"/>
    </row>
    <row r="63" spans="2:11" ht="12.75">
      <c r="B63" s="32"/>
      <c r="C63" s="115" t="s">
        <v>360</v>
      </c>
      <c r="D63" s="1"/>
      <c r="E63" s="14"/>
      <c r="F63" s="56"/>
      <c r="G63" s="56"/>
      <c r="H63" s="24"/>
      <c r="I63" s="22"/>
      <c r="J63" s="102"/>
      <c r="K63" s="53"/>
    </row>
    <row r="64" spans="2:11" ht="12.75">
      <c r="B64" s="32"/>
      <c r="C64" s="115" t="s">
        <v>361</v>
      </c>
      <c r="D64" s="1"/>
      <c r="E64" s="14"/>
      <c r="F64" s="56"/>
      <c r="G64" s="56"/>
      <c r="H64" s="24"/>
      <c r="I64" s="22"/>
      <c r="J64" s="102"/>
      <c r="K64" s="53"/>
    </row>
    <row r="65" spans="2:11" ht="12.75">
      <c r="B65" s="32"/>
      <c r="C65" s="42"/>
      <c r="D65" s="1"/>
      <c r="E65" s="14"/>
      <c r="F65" s="56"/>
      <c r="G65" s="56"/>
      <c r="H65" s="24"/>
      <c r="I65" s="22"/>
      <c r="J65" s="102"/>
      <c r="K65" s="53"/>
    </row>
    <row r="66" spans="2:11" ht="12.75">
      <c r="B66" s="52"/>
      <c r="C66" s="49" t="s">
        <v>15</v>
      </c>
      <c r="D66" s="24"/>
      <c r="E66" s="24"/>
      <c r="F66" s="24"/>
      <c r="G66" s="24"/>
      <c r="H66" s="24"/>
      <c r="I66" s="24"/>
      <c r="J66" s="103"/>
      <c r="K66" s="53"/>
    </row>
    <row r="67" spans="2:11" ht="6.75" customHeight="1">
      <c r="B67" s="52"/>
      <c r="C67" s="24"/>
      <c r="D67" s="24"/>
      <c r="E67" s="24"/>
      <c r="F67" s="24"/>
      <c r="G67" s="24"/>
      <c r="H67" s="24"/>
      <c r="I67" s="24"/>
      <c r="J67" s="103"/>
      <c r="K67" s="53"/>
    </row>
    <row r="68" spans="2:11" ht="12.75">
      <c r="B68" s="52"/>
      <c r="C68" s="49" t="s">
        <v>6</v>
      </c>
      <c r="D68" s="89"/>
      <c r="E68" s="89"/>
      <c r="F68" s="89"/>
      <c r="G68" s="89"/>
      <c r="H68" s="24"/>
      <c r="I68" s="24"/>
      <c r="J68" s="103"/>
      <c r="K68" s="53"/>
    </row>
    <row r="69" spans="2:11" ht="12.75">
      <c r="B69" s="52"/>
      <c r="C69" s="49" t="s">
        <v>34</v>
      </c>
      <c r="D69" s="89"/>
      <c r="E69" s="89"/>
      <c r="F69" s="89"/>
      <c r="G69" s="89"/>
      <c r="H69" s="122"/>
      <c r="I69" s="24"/>
      <c r="J69" s="103"/>
      <c r="K69" s="53"/>
    </row>
    <row r="70" spans="2:11" ht="12.75">
      <c r="B70" s="52"/>
      <c r="C70" s="49" t="s">
        <v>4</v>
      </c>
      <c r="D70" s="89"/>
      <c r="E70" s="89"/>
      <c r="F70" s="89"/>
      <c r="G70" s="89"/>
      <c r="H70" s="123"/>
      <c r="I70" s="24"/>
      <c r="J70" s="103"/>
      <c r="K70" s="53"/>
    </row>
    <row r="71" spans="2:11" ht="25.5" customHeight="1">
      <c r="B71" s="52"/>
      <c r="C71" s="232" t="s">
        <v>32</v>
      </c>
      <c r="D71" s="232"/>
      <c r="E71" s="232"/>
      <c r="F71" s="232"/>
      <c r="G71" s="232"/>
      <c r="H71" s="232"/>
      <c r="I71" s="232"/>
      <c r="J71" s="232"/>
      <c r="K71" s="53"/>
    </row>
    <row r="72" spans="2:11" ht="30" customHeight="1">
      <c r="B72" s="52"/>
      <c r="C72" s="233" t="s">
        <v>33</v>
      </c>
      <c r="D72" s="233"/>
      <c r="E72" s="233"/>
      <c r="F72" s="233"/>
      <c r="G72" s="233"/>
      <c r="H72" s="233"/>
      <c r="I72" s="233"/>
      <c r="J72" s="233"/>
      <c r="K72" s="53"/>
    </row>
    <row r="73" spans="2:11" ht="12.75">
      <c r="B73" s="52"/>
      <c r="C73" s="49" t="s">
        <v>11</v>
      </c>
      <c r="D73" s="51"/>
      <c r="E73" s="51"/>
      <c r="F73" s="51"/>
      <c r="G73" s="51"/>
      <c r="H73" s="14"/>
      <c r="I73" s="24"/>
      <c r="J73" s="103"/>
      <c r="K73" s="53"/>
    </row>
    <row r="74" spans="2:11" ht="6.75" customHeight="1">
      <c r="B74" s="32"/>
      <c r="C74" s="14"/>
      <c r="D74" s="14"/>
      <c r="E74" s="14"/>
      <c r="F74" s="62"/>
      <c r="G74" s="62"/>
      <c r="H74" s="14"/>
      <c r="I74" s="24"/>
      <c r="J74" s="103"/>
      <c r="K74" s="53"/>
    </row>
    <row r="75" spans="2:11" ht="12.75">
      <c r="B75" s="32"/>
      <c r="C75" s="49" t="s">
        <v>8</v>
      </c>
      <c r="D75" s="51"/>
      <c r="E75" s="51"/>
      <c r="F75" s="51"/>
      <c r="G75" s="51"/>
      <c r="H75" s="14"/>
      <c r="I75" s="24"/>
      <c r="J75" s="103"/>
      <c r="K75" s="34"/>
    </row>
    <row r="76" spans="2:11" ht="13.5" customHeight="1">
      <c r="B76" s="32"/>
      <c r="C76" s="49" t="s">
        <v>20</v>
      </c>
      <c r="D76" s="90"/>
      <c r="E76" s="90"/>
      <c r="F76" s="90"/>
      <c r="G76" s="90"/>
      <c r="H76" s="14"/>
      <c r="I76" s="24"/>
      <c r="J76" s="103"/>
      <c r="K76" s="34"/>
    </row>
    <row r="77" spans="2:11" ht="13.5" customHeight="1">
      <c r="B77" s="32"/>
      <c r="C77" s="134" t="s">
        <v>43</v>
      </c>
      <c r="D77" s="49"/>
      <c r="E77" s="49"/>
      <c r="F77" s="49"/>
      <c r="G77" s="49"/>
      <c r="H77" s="14"/>
      <c r="I77" s="24"/>
      <c r="J77" s="103"/>
      <c r="K77" s="34"/>
    </row>
    <row r="78" spans="2:11" ht="13.5" customHeight="1">
      <c r="B78" s="32"/>
      <c r="C78" s="49" t="s">
        <v>41</v>
      </c>
      <c r="D78" s="16"/>
      <c r="E78" s="16"/>
      <c r="F78" s="16"/>
      <c r="G78" s="16"/>
      <c r="H78" s="14"/>
      <c r="I78" s="1"/>
      <c r="J78" s="104"/>
      <c r="K78" s="34"/>
    </row>
    <row r="79" spans="2:11" ht="6.75" customHeight="1" thickBot="1">
      <c r="B79" s="35"/>
      <c r="C79" s="21"/>
      <c r="D79" s="65"/>
      <c r="E79" s="65"/>
      <c r="F79" s="65"/>
      <c r="G79" s="65"/>
      <c r="H79" s="129"/>
      <c r="I79" s="21"/>
      <c r="J79" s="105"/>
      <c r="K79" s="66"/>
    </row>
    <row r="117" spans="2:10" ht="12.75">
      <c r="B117" s="32"/>
      <c r="D117" s="17"/>
      <c r="E117" s="17"/>
      <c r="F117" s="17"/>
      <c r="G117" s="17"/>
      <c r="I117" s="1"/>
      <c r="J117" s="106"/>
    </row>
    <row r="118" spans="2:10" ht="12.75">
      <c r="B118" s="32"/>
      <c r="D118" s="23"/>
      <c r="E118" s="23"/>
      <c r="F118" s="23"/>
      <c r="G118" s="23"/>
      <c r="I118" s="1"/>
      <c r="J118" s="106"/>
    </row>
    <row r="119" spans="2:10" ht="12.75">
      <c r="B119" s="32"/>
      <c r="D119" s="23"/>
      <c r="E119" s="23"/>
      <c r="F119" s="23"/>
      <c r="G119" s="23"/>
      <c r="I119" s="1"/>
      <c r="J119" s="106"/>
    </row>
    <row r="120" spans="2:10" ht="12.75">
      <c r="B120" s="32"/>
      <c r="D120" s="2"/>
      <c r="E120" s="2"/>
      <c r="F120" s="2"/>
      <c r="G120" s="2"/>
      <c r="I120" s="1"/>
      <c r="J120" s="106"/>
    </row>
  </sheetData>
  <sheetProtection/>
  <mergeCells count="13">
    <mergeCell ref="E12:E13"/>
    <mergeCell ref="F12:F13"/>
    <mergeCell ref="G12:G13"/>
    <mergeCell ref="I12:J12"/>
    <mergeCell ref="C71:J71"/>
    <mergeCell ref="C72:J72"/>
    <mergeCell ref="C4:J4"/>
    <mergeCell ref="C5:J5"/>
    <mergeCell ref="C6:J6"/>
    <mergeCell ref="C11:E11"/>
    <mergeCell ref="F11:J11"/>
    <mergeCell ref="C12:C13"/>
    <mergeCell ref="D12:D13"/>
  </mergeCells>
  <dataValidations count="6">
    <dataValidation type="whole" allowBlank="1" showInputMessage="1" showErrorMessage="1" sqref="H73:H65536 H10:H12 H14:H70 H1:H8">
      <formula1>1</formula1>
      <formula2>2</formula2>
    </dataValidation>
    <dataValidation type="whole" allowBlank="1" showInputMessage="1" showErrorMessage="1" errorTitle="Error en código de sustento" error="Verifique los códigos válidos en la tabla CÓDIGO DE SUSTENTO&#10;&#10;" sqref="I73:I65536 I30:I71 I24:I25 I20:I22 I17 I1:I11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E14:E49">
      <formula1>0</formula1>
    </dataValidation>
    <dataValidation allowBlank="1" showInputMessage="1" showErrorMessage="1" errorTitle="Error en código de sustento" error="Verifique los códigos válidos en la tabla CÓDIGO DE SUSTENTO&#10;&#10;" sqref="I12:J12 I13"/>
    <dataValidation type="whole" allowBlank="1" showInputMessage="1" showErrorMessage="1" errorTitle="Error en código de sustento" error="Verificar el código del documento de sustento según la tabla CODIGO DE SUSTENTO" sqref="I23 I14:I16 I18:I19 I26:I29">
      <formula1>1</formula1>
      <formula2>4</formula2>
    </dataValidation>
    <dataValidation allowBlank="1" showInputMessage="1" showErrorMessage="1" errorTitle="Error en RUC" error="Verifique que la longitud del RUC sea de 11 dígitos" sqref="G14:G19 G23:G29"/>
  </dataValidations>
  <printOptions/>
  <pageMargins left="0.31496062992125984" right="0.31496062992125984" top="0.1968503937007874" bottom="0.17" header="0.31496062992125984" footer="0.17"/>
  <pageSetup horizontalDpi="120" verticalDpi="120" orientation="landscape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119"/>
  <sheetViews>
    <sheetView zoomScale="75" zoomScaleNormal="75" zoomScalePageLayoutView="0" workbookViewId="0" topLeftCell="A1">
      <selection activeCell="F22" sqref="F22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41.140625" style="0" customWidth="1"/>
    <col min="5" max="5" width="14.8515625" style="0" customWidth="1"/>
    <col min="6" max="6" width="38.00390625" style="54" customWidth="1"/>
    <col min="7" max="7" width="19.140625" style="54" customWidth="1"/>
    <col min="8" max="8" width="17.8515625" style="0" customWidth="1"/>
    <col min="9" max="9" width="13.00390625" style="54" customWidth="1"/>
    <col min="10" max="10" width="20.421875" style="95" customWidth="1"/>
    <col min="11" max="11" width="3.00390625" style="0" customWidth="1"/>
  </cols>
  <sheetData>
    <row r="1" ht="13.5" thickBot="1"/>
    <row r="2" spans="2:11" ht="15.75">
      <c r="B2" s="45"/>
      <c r="C2" s="125" t="s">
        <v>42</v>
      </c>
      <c r="D2" s="126"/>
      <c r="E2" s="28"/>
      <c r="F2" s="55"/>
      <c r="G2" s="55"/>
      <c r="H2" s="28"/>
      <c r="I2" s="135" t="s">
        <v>46</v>
      </c>
      <c r="J2" s="135"/>
      <c r="K2" s="136"/>
    </row>
    <row r="3" spans="2:11" ht="9.75" customHeight="1">
      <c r="B3" s="130"/>
      <c r="C3" s="131"/>
      <c r="D3" s="132"/>
      <c r="E3" s="1"/>
      <c r="F3" s="56"/>
      <c r="G3" s="56"/>
      <c r="H3" s="1"/>
      <c r="I3" s="61"/>
      <c r="J3" s="61"/>
      <c r="K3" s="133"/>
    </row>
    <row r="4" spans="2:11" ht="21" customHeight="1">
      <c r="B4" s="32"/>
      <c r="C4" s="191" t="s">
        <v>17</v>
      </c>
      <c r="D4" s="192"/>
      <c r="E4" s="192"/>
      <c r="F4" s="192"/>
      <c r="G4" s="192"/>
      <c r="H4" s="192"/>
      <c r="I4" s="192"/>
      <c r="J4" s="193"/>
      <c r="K4" s="53"/>
    </row>
    <row r="5" spans="2:11" ht="9.75" customHeight="1">
      <c r="B5" s="32"/>
      <c r="C5" s="194"/>
      <c r="D5" s="194"/>
      <c r="E5" s="194"/>
      <c r="F5" s="194"/>
      <c r="G5" s="194"/>
      <c r="H5" s="194"/>
      <c r="I5" s="194"/>
      <c r="J5" s="194"/>
      <c r="K5" s="53"/>
    </row>
    <row r="6" spans="2:11" ht="12.75">
      <c r="B6" s="32"/>
      <c r="C6" s="194" t="s">
        <v>368</v>
      </c>
      <c r="D6" s="194"/>
      <c r="E6" s="194"/>
      <c r="F6" s="194"/>
      <c r="G6" s="194"/>
      <c r="H6" s="194"/>
      <c r="I6" s="194"/>
      <c r="J6" s="194"/>
      <c r="K6" s="53"/>
    </row>
    <row r="7" spans="2:11" ht="7.5" customHeight="1">
      <c r="B7" s="32"/>
      <c r="C7" s="26"/>
      <c r="D7" s="26"/>
      <c r="E7" s="26"/>
      <c r="F7" s="26"/>
      <c r="G7" s="26"/>
      <c r="H7" s="26"/>
      <c r="I7" s="26"/>
      <c r="J7" s="96"/>
      <c r="K7" s="53"/>
    </row>
    <row r="8" spans="2:11" ht="12.75">
      <c r="B8" s="32"/>
      <c r="C8" s="15" t="s">
        <v>157</v>
      </c>
      <c r="D8" s="26"/>
      <c r="E8" s="26"/>
      <c r="F8" s="62"/>
      <c r="G8" s="61" t="s">
        <v>158</v>
      </c>
      <c r="H8" s="62"/>
      <c r="I8" s="62"/>
      <c r="J8" s="62"/>
      <c r="K8" s="53"/>
    </row>
    <row r="9" spans="2:11" ht="12.75">
      <c r="B9" s="32"/>
      <c r="C9" s="15" t="s">
        <v>48</v>
      </c>
      <c r="D9" s="26"/>
      <c r="E9" s="26"/>
      <c r="F9" s="26"/>
      <c r="G9" s="50"/>
      <c r="H9" s="50"/>
      <c r="I9" s="13"/>
      <c r="J9" s="102"/>
      <c r="K9" s="53"/>
    </row>
    <row r="10" spans="2:11" ht="6.75" customHeight="1" thickBot="1">
      <c r="B10" s="32"/>
      <c r="C10" s="1"/>
      <c r="D10" s="1"/>
      <c r="E10" s="1"/>
      <c r="F10" s="56"/>
      <c r="G10" s="56"/>
      <c r="H10" s="56"/>
      <c r="I10" s="56"/>
      <c r="J10" s="97"/>
      <c r="K10" s="53"/>
    </row>
    <row r="11" spans="2:11" s="25" customFormat="1" ht="21.75" customHeight="1" thickBot="1">
      <c r="B11" s="46"/>
      <c r="C11" s="234" t="s">
        <v>6</v>
      </c>
      <c r="D11" s="235"/>
      <c r="E11" s="236"/>
      <c r="F11" s="234" t="s">
        <v>7</v>
      </c>
      <c r="G11" s="237"/>
      <c r="H11" s="237"/>
      <c r="I11" s="235"/>
      <c r="J11" s="236"/>
      <c r="K11" s="47"/>
    </row>
    <row r="12" spans="2:11" s="25" customFormat="1" ht="28.5" customHeight="1" thickBot="1">
      <c r="B12" s="46"/>
      <c r="C12" s="211" t="s">
        <v>1</v>
      </c>
      <c r="D12" s="208" t="s">
        <v>9</v>
      </c>
      <c r="E12" s="211" t="s">
        <v>38</v>
      </c>
      <c r="F12" s="239" t="s">
        <v>31</v>
      </c>
      <c r="G12" s="211" t="s">
        <v>13</v>
      </c>
      <c r="H12" s="124" t="s">
        <v>25</v>
      </c>
      <c r="I12" s="230" t="s">
        <v>35</v>
      </c>
      <c r="J12" s="231"/>
      <c r="K12" s="47"/>
    </row>
    <row r="13" spans="2:11" s="25" customFormat="1" ht="61.5" customHeight="1" thickBot="1">
      <c r="B13" s="46"/>
      <c r="C13" s="213"/>
      <c r="D13" s="238"/>
      <c r="E13" s="213"/>
      <c r="F13" s="240"/>
      <c r="G13" s="241"/>
      <c r="H13" s="151" t="s">
        <v>36</v>
      </c>
      <c r="I13" s="94" t="s">
        <v>37</v>
      </c>
      <c r="J13" s="152" t="s">
        <v>30</v>
      </c>
      <c r="K13" s="47"/>
    </row>
    <row r="14" spans="2:11" s="38" customFormat="1" ht="12.75" customHeight="1">
      <c r="B14" s="39"/>
      <c r="C14" s="80">
        <v>40620</v>
      </c>
      <c r="D14" s="85" t="s">
        <v>169</v>
      </c>
      <c r="E14" s="86">
        <f>850/1.18</f>
        <v>720.3389830508474</v>
      </c>
      <c r="F14" s="5" t="s">
        <v>170</v>
      </c>
      <c r="G14" s="156" t="s">
        <v>171</v>
      </c>
      <c r="H14" s="142">
        <v>2</v>
      </c>
      <c r="I14" s="138">
        <v>1</v>
      </c>
      <c r="J14" s="141" t="s">
        <v>172</v>
      </c>
      <c r="K14" s="64"/>
    </row>
    <row r="15" spans="2:11" s="38" customFormat="1" ht="12.75" customHeight="1">
      <c r="B15" s="39"/>
      <c r="C15" s="80">
        <v>40620</v>
      </c>
      <c r="D15" s="85" t="s">
        <v>341</v>
      </c>
      <c r="E15" s="87">
        <v>30</v>
      </c>
      <c r="F15" s="183" t="s">
        <v>342</v>
      </c>
      <c r="G15" s="83"/>
      <c r="H15" s="142">
        <v>1</v>
      </c>
      <c r="I15" s="138">
        <v>4</v>
      </c>
      <c r="J15" s="141" t="s">
        <v>92</v>
      </c>
      <c r="K15" s="64"/>
    </row>
    <row r="16" spans="2:11" s="38" customFormat="1" ht="12.75" customHeight="1">
      <c r="B16" s="39"/>
      <c r="C16" s="80">
        <v>40620</v>
      </c>
      <c r="D16" s="85" t="s">
        <v>341</v>
      </c>
      <c r="E16" s="87">
        <v>30</v>
      </c>
      <c r="F16" s="5" t="s">
        <v>340</v>
      </c>
      <c r="G16" s="83"/>
      <c r="H16" s="142">
        <v>1</v>
      </c>
      <c r="I16" s="138">
        <v>4</v>
      </c>
      <c r="J16" s="141" t="s">
        <v>92</v>
      </c>
      <c r="K16" s="64"/>
    </row>
    <row r="17" spans="2:11" s="38" customFormat="1" ht="12.75" customHeight="1">
      <c r="B17" s="39"/>
      <c r="C17" s="80">
        <v>40621</v>
      </c>
      <c r="D17" s="85" t="s">
        <v>181</v>
      </c>
      <c r="E17" s="87">
        <f>50/1.18</f>
        <v>42.37288135593221</v>
      </c>
      <c r="F17" s="5" t="s">
        <v>191</v>
      </c>
      <c r="G17" s="83" t="s">
        <v>192</v>
      </c>
      <c r="H17" s="142">
        <v>2</v>
      </c>
      <c r="I17" s="138">
        <v>1</v>
      </c>
      <c r="J17" s="141" t="s">
        <v>217</v>
      </c>
      <c r="K17" s="64"/>
    </row>
    <row r="18" spans="2:11" s="38" customFormat="1" ht="12.75" customHeight="1">
      <c r="B18" s="39"/>
      <c r="C18" s="80">
        <v>40621</v>
      </c>
      <c r="D18" s="83" t="s">
        <v>286</v>
      </c>
      <c r="E18" s="87">
        <v>57</v>
      </c>
      <c r="F18" s="5" t="s">
        <v>292</v>
      </c>
      <c r="G18" s="184" t="s">
        <v>293</v>
      </c>
      <c r="H18" s="142">
        <v>2</v>
      </c>
      <c r="I18" s="138">
        <v>2</v>
      </c>
      <c r="J18" s="141" t="s">
        <v>294</v>
      </c>
      <c r="K18" s="64"/>
    </row>
    <row r="19" spans="2:11" s="38" customFormat="1" ht="12.75" customHeight="1">
      <c r="B19" s="39"/>
      <c r="C19" s="80">
        <v>40622</v>
      </c>
      <c r="D19" s="85" t="s">
        <v>181</v>
      </c>
      <c r="E19" s="87">
        <f>12.14/1.18</f>
        <v>10.28813559322034</v>
      </c>
      <c r="F19" s="5" t="s">
        <v>194</v>
      </c>
      <c r="G19" s="83" t="s">
        <v>195</v>
      </c>
      <c r="H19" s="142">
        <v>2</v>
      </c>
      <c r="I19" s="138">
        <v>1</v>
      </c>
      <c r="J19" s="141" t="s">
        <v>202</v>
      </c>
      <c r="K19" s="64"/>
    </row>
    <row r="20" spans="2:12" s="38" customFormat="1" ht="12.75" customHeight="1">
      <c r="B20" s="39"/>
      <c r="C20" s="153">
        <v>40622</v>
      </c>
      <c r="D20" s="171" t="s">
        <v>320</v>
      </c>
      <c r="E20" s="155">
        <f>261.18</f>
        <v>261.18</v>
      </c>
      <c r="F20" s="173" t="s">
        <v>321</v>
      </c>
      <c r="G20" s="83" t="s">
        <v>322</v>
      </c>
      <c r="H20" s="157">
        <v>2</v>
      </c>
      <c r="I20" s="158">
        <v>1</v>
      </c>
      <c r="J20" s="159" t="s">
        <v>326</v>
      </c>
      <c r="K20" s="64"/>
      <c r="L20" s="175">
        <f>+SUMIF(H14:H30,1,E14:E30)</f>
        <v>102.37288135593221</v>
      </c>
    </row>
    <row r="21" spans="2:12" s="38" customFormat="1" ht="14.25" customHeight="1">
      <c r="B21" s="39"/>
      <c r="C21" s="153">
        <v>40622</v>
      </c>
      <c r="D21" s="154" t="s">
        <v>286</v>
      </c>
      <c r="E21" s="155">
        <f>22/1.18</f>
        <v>18.64406779661017</v>
      </c>
      <c r="F21" s="41" t="s">
        <v>270</v>
      </c>
      <c r="G21" s="156" t="s">
        <v>271</v>
      </c>
      <c r="H21" s="157">
        <v>2</v>
      </c>
      <c r="I21" s="158">
        <v>1</v>
      </c>
      <c r="J21" s="159" t="s">
        <v>295</v>
      </c>
      <c r="K21" s="64"/>
      <c r="L21" s="175">
        <f>+SUMIF(H14:H30,2,E14:E30)</f>
        <v>1449.9766101694916</v>
      </c>
    </row>
    <row r="22" spans="2:11" s="38" customFormat="1" ht="12.75" customHeight="1">
      <c r="B22" s="39"/>
      <c r="C22" s="80">
        <v>40623</v>
      </c>
      <c r="D22" s="85" t="s">
        <v>181</v>
      </c>
      <c r="E22" s="87">
        <f>170.99/1.18</f>
        <v>144.90677966101697</v>
      </c>
      <c r="F22" s="5" t="s">
        <v>205</v>
      </c>
      <c r="G22" s="83" t="s">
        <v>203</v>
      </c>
      <c r="H22" s="142">
        <v>2</v>
      </c>
      <c r="I22" s="138">
        <v>1</v>
      </c>
      <c r="J22" s="141" t="s">
        <v>204</v>
      </c>
      <c r="K22" s="64"/>
    </row>
    <row r="23" spans="2:11" s="38" customFormat="1" ht="13.5" customHeight="1">
      <c r="B23" s="39"/>
      <c r="C23" s="143">
        <v>40623</v>
      </c>
      <c r="D23" s="150" t="s">
        <v>181</v>
      </c>
      <c r="E23" s="149">
        <f>136.69/1.18</f>
        <v>115.83898305084746</v>
      </c>
      <c r="F23" s="145" t="s">
        <v>205</v>
      </c>
      <c r="G23" s="156" t="s">
        <v>203</v>
      </c>
      <c r="H23" s="148">
        <v>2</v>
      </c>
      <c r="I23" s="144">
        <v>1</v>
      </c>
      <c r="J23" s="147" t="s">
        <v>206</v>
      </c>
      <c r="K23" s="64"/>
    </row>
    <row r="24" spans="2:11" s="38" customFormat="1" ht="12.75" customHeight="1">
      <c r="B24" s="39"/>
      <c r="C24" s="80">
        <v>40623</v>
      </c>
      <c r="D24" s="85" t="s">
        <v>181</v>
      </c>
      <c r="E24" s="87">
        <f>72.5/1.18</f>
        <v>61.440677966101696</v>
      </c>
      <c r="F24" s="5" t="s">
        <v>205</v>
      </c>
      <c r="G24" s="156" t="s">
        <v>203</v>
      </c>
      <c r="H24" s="142">
        <v>2</v>
      </c>
      <c r="I24" s="138">
        <v>1</v>
      </c>
      <c r="J24" s="141" t="s">
        <v>207</v>
      </c>
      <c r="K24" s="64"/>
    </row>
    <row r="25" spans="2:11" s="38" customFormat="1" ht="12.75">
      <c r="B25" s="39"/>
      <c r="C25" s="80">
        <v>40623</v>
      </c>
      <c r="D25" s="85" t="s">
        <v>302</v>
      </c>
      <c r="E25" s="87">
        <f>5/1.18</f>
        <v>4.237288135593221</v>
      </c>
      <c r="F25" s="183" t="s">
        <v>310</v>
      </c>
      <c r="G25" s="83" t="s">
        <v>311</v>
      </c>
      <c r="H25" s="142">
        <v>2</v>
      </c>
      <c r="I25" s="138">
        <v>1</v>
      </c>
      <c r="J25" s="141" t="s">
        <v>312</v>
      </c>
      <c r="K25" s="64"/>
    </row>
    <row r="26" spans="2:11" s="38" customFormat="1" ht="12.75" customHeight="1">
      <c r="B26" s="39"/>
      <c r="C26" s="80">
        <v>40623</v>
      </c>
      <c r="D26" s="85" t="s">
        <v>302</v>
      </c>
      <c r="E26" s="87">
        <f>5.4/1.18</f>
        <v>4.576271186440678</v>
      </c>
      <c r="F26" s="160" t="s">
        <v>313</v>
      </c>
      <c r="G26" s="83" t="s">
        <v>314</v>
      </c>
      <c r="H26" s="142">
        <v>2</v>
      </c>
      <c r="I26" s="138">
        <v>1</v>
      </c>
      <c r="J26" s="141" t="s">
        <v>315</v>
      </c>
      <c r="K26" s="64"/>
    </row>
    <row r="27" spans="2:11" s="38" customFormat="1" ht="12.75" customHeight="1">
      <c r="B27" s="39"/>
      <c r="C27" s="80">
        <v>40623</v>
      </c>
      <c r="D27" s="85" t="s">
        <v>302</v>
      </c>
      <c r="E27" s="87">
        <f>10.8/1.18</f>
        <v>9.152542372881356</v>
      </c>
      <c r="F27" s="5" t="s">
        <v>313</v>
      </c>
      <c r="G27" s="83" t="s">
        <v>314</v>
      </c>
      <c r="H27" s="142">
        <v>2</v>
      </c>
      <c r="I27" s="138">
        <v>1</v>
      </c>
      <c r="J27" s="141" t="s">
        <v>316</v>
      </c>
      <c r="K27" s="64"/>
    </row>
    <row r="28" spans="2:11" s="38" customFormat="1" ht="12.75" customHeight="1" thickBot="1">
      <c r="B28" s="39"/>
      <c r="C28" s="80">
        <v>40624</v>
      </c>
      <c r="D28" s="85" t="s">
        <v>181</v>
      </c>
      <c r="E28" s="174">
        <f>50/1.18</f>
        <v>42.37288135593221</v>
      </c>
      <c r="F28" s="5" t="s">
        <v>235</v>
      </c>
      <c r="G28" s="83" t="s">
        <v>236</v>
      </c>
      <c r="H28" s="142">
        <v>1</v>
      </c>
      <c r="I28" s="138">
        <v>1</v>
      </c>
      <c r="J28" s="141" t="s">
        <v>237</v>
      </c>
      <c r="K28" s="64"/>
    </row>
    <row r="29" spans="2:11" ht="13.5" hidden="1" thickBot="1">
      <c r="B29" s="32"/>
      <c r="C29" s="3"/>
      <c r="D29" s="48"/>
      <c r="E29" s="44"/>
      <c r="F29" s="57"/>
      <c r="G29" s="57"/>
      <c r="H29" s="43"/>
      <c r="I29" s="58"/>
      <c r="J29" s="98"/>
      <c r="K29" s="53"/>
    </row>
    <row r="30" spans="2:11" ht="13.5" hidden="1" thickBot="1">
      <c r="B30" s="32"/>
      <c r="C30" s="20"/>
      <c r="D30" s="19"/>
      <c r="E30" s="7"/>
      <c r="F30" s="59"/>
      <c r="G30" s="59"/>
      <c r="H30" s="6"/>
      <c r="I30" s="60"/>
      <c r="J30" s="99"/>
      <c r="K30" s="53"/>
    </row>
    <row r="31" spans="2:11" ht="13.5" hidden="1" thickBot="1">
      <c r="B31" s="32"/>
      <c r="C31" s="20"/>
      <c r="D31" s="19"/>
      <c r="E31" s="7"/>
      <c r="F31" s="59"/>
      <c r="G31" s="59"/>
      <c r="H31" s="6"/>
      <c r="I31" s="60"/>
      <c r="J31" s="99"/>
      <c r="K31" s="53"/>
    </row>
    <row r="32" spans="2:11" ht="13.5" hidden="1" thickBot="1">
      <c r="B32" s="32"/>
      <c r="C32" s="20"/>
      <c r="D32" s="19"/>
      <c r="E32" s="7"/>
      <c r="F32" s="59"/>
      <c r="G32" s="59"/>
      <c r="H32" s="6"/>
      <c r="I32" s="60"/>
      <c r="J32" s="99"/>
      <c r="K32" s="53"/>
    </row>
    <row r="33" spans="2:11" ht="13.5" hidden="1" thickBot="1">
      <c r="B33" s="32"/>
      <c r="C33" s="20"/>
      <c r="D33" s="19"/>
      <c r="E33" s="7"/>
      <c r="F33" s="59"/>
      <c r="G33" s="59"/>
      <c r="H33" s="6"/>
      <c r="I33" s="60"/>
      <c r="J33" s="99"/>
      <c r="K33" s="53"/>
    </row>
    <row r="34" spans="2:11" ht="13.5" hidden="1" thickBot="1">
      <c r="B34" s="32"/>
      <c r="C34" s="20"/>
      <c r="D34" s="19"/>
      <c r="E34" s="7"/>
      <c r="F34" s="59"/>
      <c r="G34" s="59"/>
      <c r="H34" s="6"/>
      <c r="I34" s="60"/>
      <c r="J34" s="99"/>
      <c r="K34" s="53"/>
    </row>
    <row r="35" spans="2:11" ht="13.5" hidden="1" thickBot="1">
      <c r="B35" s="32"/>
      <c r="C35" s="20"/>
      <c r="D35" s="19"/>
      <c r="E35" s="7"/>
      <c r="F35" s="59"/>
      <c r="G35" s="59"/>
      <c r="H35" s="6"/>
      <c r="I35" s="60"/>
      <c r="J35" s="99"/>
      <c r="K35" s="53"/>
    </row>
    <row r="36" spans="2:11" ht="13.5" hidden="1" thickBot="1">
      <c r="B36" s="32"/>
      <c r="C36" s="20"/>
      <c r="D36" s="19"/>
      <c r="E36" s="7"/>
      <c r="F36" s="59"/>
      <c r="G36" s="59"/>
      <c r="H36" s="6"/>
      <c r="I36" s="60"/>
      <c r="J36" s="99"/>
      <c r="K36" s="53"/>
    </row>
    <row r="37" spans="2:11" ht="13.5" hidden="1" thickBot="1">
      <c r="B37" s="32"/>
      <c r="C37" s="20"/>
      <c r="D37" s="19"/>
      <c r="E37" s="7"/>
      <c r="F37" s="59"/>
      <c r="G37" s="59"/>
      <c r="H37" s="6"/>
      <c r="I37" s="60"/>
      <c r="J37" s="99"/>
      <c r="K37" s="53"/>
    </row>
    <row r="38" spans="2:11" ht="13.5" hidden="1" thickBot="1">
      <c r="B38" s="32"/>
      <c r="C38" s="20"/>
      <c r="D38" s="19"/>
      <c r="E38" s="7"/>
      <c r="F38" s="59"/>
      <c r="G38" s="59"/>
      <c r="H38" s="6"/>
      <c r="I38" s="60"/>
      <c r="J38" s="99"/>
      <c r="K38" s="53"/>
    </row>
    <row r="39" spans="2:11" ht="13.5" hidden="1" thickBot="1">
      <c r="B39" s="32"/>
      <c r="C39" s="20"/>
      <c r="D39" s="19"/>
      <c r="E39" s="7"/>
      <c r="F39" s="59"/>
      <c r="G39" s="59"/>
      <c r="H39" s="6"/>
      <c r="I39" s="60"/>
      <c r="J39" s="99"/>
      <c r="K39" s="53"/>
    </row>
    <row r="40" spans="2:11" ht="13.5" hidden="1" thickBot="1">
      <c r="B40" s="32"/>
      <c r="C40" s="20"/>
      <c r="D40" s="19"/>
      <c r="E40" s="7"/>
      <c r="F40" s="59"/>
      <c r="G40" s="59"/>
      <c r="H40" s="6"/>
      <c r="I40" s="60"/>
      <c r="J40" s="99"/>
      <c r="K40" s="53"/>
    </row>
    <row r="41" spans="2:11" ht="13.5" hidden="1" thickBot="1">
      <c r="B41" s="32"/>
      <c r="C41" s="20"/>
      <c r="D41" s="19"/>
      <c r="E41" s="7"/>
      <c r="F41" s="59"/>
      <c r="G41" s="59"/>
      <c r="H41" s="6"/>
      <c r="I41" s="60"/>
      <c r="J41" s="99"/>
      <c r="K41" s="53"/>
    </row>
    <row r="42" spans="2:11" ht="13.5" hidden="1" thickBot="1">
      <c r="B42" s="32"/>
      <c r="C42" s="20"/>
      <c r="D42" s="19"/>
      <c r="E42" s="7"/>
      <c r="F42" s="59"/>
      <c r="G42" s="59"/>
      <c r="H42" s="91"/>
      <c r="I42" s="60"/>
      <c r="J42" s="99"/>
      <c r="K42" s="53"/>
    </row>
    <row r="43" spans="2:11" ht="13.5" hidden="1" thickBot="1">
      <c r="B43" s="32"/>
      <c r="C43" s="20"/>
      <c r="D43" s="19"/>
      <c r="E43" s="7"/>
      <c r="F43" s="59"/>
      <c r="G43" s="59"/>
      <c r="H43" s="1"/>
      <c r="I43" s="60"/>
      <c r="J43" s="99"/>
      <c r="K43" s="53"/>
    </row>
    <row r="44" spans="2:11" ht="13.5" hidden="1" thickBot="1">
      <c r="B44" s="32"/>
      <c r="C44" s="20"/>
      <c r="D44" s="19"/>
      <c r="E44" s="7"/>
      <c r="F44" s="59"/>
      <c r="G44" s="59"/>
      <c r="H44" s="1"/>
      <c r="I44" s="60"/>
      <c r="J44" s="99"/>
      <c r="K44" s="53"/>
    </row>
    <row r="45" spans="2:11" ht="13.5" hidden="1" thickBot="1">
      <c r="B45" s="32"/>
      <c r="C45" s="20"/>
      <c r="D45" s="19"/>
      <c r="E45" s="7"/>
      <c r="F45" s="59"/>
      <c r="G45" s="59"/>
      <c r="H45" s="1"/>
      <c r="I45" s="60"/>
      <c r="J45" s="99"/>
      <c r="K45" s="53"/>
    </row>
    <row r="46" spans="2:11" ht="13.5" hidden="1" thickBot="1">
      <c r="B46" s="32"/>
      <c r="C46" s="20"/>
      <c r="D46" s="19"/>
      <c r="E46" s="7"/>
      <c r="F46" s="59"/>
      <c r="G46" s="59"/>
      <c r="H46" s="1"/>
      <c r="I46" s="60"/>
      <c r="J46" s="99"/>
      <c r="K46" s="53"/>
    </row>
    <row r="47" spans="2:11" ht="13.5" hidden="1" thickBot="1">
      <c r="B47" s="32"/>
      <c r="C47" s="20"/>
      <c r="D47" s="19"/>
      <c r="E47" s="7"/>
      <c r="F47" s="59"/>
      <c r="G47" s="59"/>
      <c r="H47" s="1"/>
      <c r="I47" s="60"/>
      <c r="J47" s="99"/>
      <c r="K47" s="53"/>
    </row>
    <row r="48" spans="2:11" ht="13.5" hidden="1" thickBot="1">
      <c r="B48" s="32"/>
      <c r="C48" s="67"/>
      <c r="D48" s="68"/>
      <c r="E48" s="75"/>
      <c r="F48" s="69"/>
      <c r="G48" s="69"/>
      <c r="H48" s="1"/>
      <c r="I48" s="70"/>
      <c r="J48" s="100"/>
      <c r="K48" s="53"/>
    </row>
    <row r="49" spans="2:11" ht="13.5" thickBot="1">
      <c r="B49" s="32"/>
      <c r="C49" s="71"/>
      <c r="D49" s="88"/>
      <c r="E49" s="76">
        <f>SUM(E14:E48)</f>
        <v>1552.3494915254237</v>
      </c>
      <c r="F49" s="71"/>
      <c r="G49" s="72"/>
      <c r="H49" s="72"/>
      <c r="I49" s="72"/>
      <c r="J49" s="101"/>
      <c r="K49" s="53"/>
    </row>
    <row r="50" spans="2:11" ht="12.75">
      <c r="B50" s="32"/>
      <c r="C50" s="18" t="s">
        <v>19</v>
      </c>
      <c r="D50" s="13"/>
      <c r="E50" s="13"/>
      <c r="F50" s="56"/>
      <c r="G50" s="56"/>
      <c r="H50" s="1"/>
      <c r="I50" s="56"/>
      <c r="J50" s="97"/>
      <c r="K50" s="53"/>
    </row>
    <row r="51" spans="2:11" ht="12.75">
      <c r="B51" s="32"/>
      <c r="C51" s="24"/>
      <c r="D51" s="1"/>
      <c r="E51" s="1"/>
      <c r="F51" s="56"/>
      <c r="G51" s="56"/>
      <c r="H51" s="1"/>
      <c r="I51" s="56"/>
      <c r="J51" s="97"/>
      <c r="K51" s="53"/>
    </row>
    <row r="52" spans="2:11" ht="16.5" customHeight="1">
      <c r="B52" s="32"/>
      <c r="C52" s="1"/>
      <c r="D52" s="1"/>
      <c r="E52" s="1"/>
      <c r="F52" s="56"/>
      <c r="G52" s="56"/>
      <c r="H52" s="1"/>
      <c r="I52" s="56"/>
      <c r="J52" s="97"/>
      <c r="K52" s="53"/>
    </row>
    <row r="53" spans="2:11" ht="12.75" hidden="1">
      <c r="B53" s="32"/>
      <c r="C53" s="1"/>
      <c r="D53" s="1"/>
      <c r="E53" s="1"/>
      <c r="F53" s="56"/>
      <c r="G53" s="56"/>
      <c r="H53" s="14"/>
      <c r="I53" s="56"/>
      <c r="J53" s="97"/>
      <c r="K53" s="53"/>
    </row>
    <row r="54" spans="2:11" ht="12.75" hidden="1">
      <c r="B54" s="32"/>
      <c r="C54" s="1"/>
      <c r="D54" s="1"/>
      <c r="E54" s="1"/>
      <c r="F54" s="56"/>
      <c r="G54" s="56"/>
      <c r="H54" s="1"/>
      <c r="I54" s="56"/>
      <c r="J54" s="97"/>
      <c r="K54" s="53"/>
    </row>
    <row r="55" spans="2:11" ht="12.75" hidden="1">
      <c r="B55" s="32"/>
      <c r="C55" s="1"/>
      <c r="D55" s="1"/>
      <c r="E55" s="1"/>
      <c r="F55" s="56"/>
      <c r="G55" s="56"/>
      <c r="H55" s="1"/>
      <c r="I55" s="56"/>
      <c r="J55" s="97"/>
      <c r="K55" s="53"/>
    </row>
    <row r="56" spans="2:11" ht="12.75" hidden="1">
      <c r="B56" s="32"/>
      <c r="C56" s="1"/>
      <c r="D56" s="1"/>
      <c r="E56" s="1"/>
      <c r="F56" s="56"/>
      <c r="G56" s="56"/>
      <c r="H56" s="1"/>
      <c r="I56" s="56"/>
      <c r="J56" s="97"/>
      <c r="K56" s="53"/>
    </row>
    <row r="57" spans="2:11" ht="12.75" hidden="1">
      <c r="B57" s="32"/>
      <c r="C57" s="1"/>
      <c r="D57" s="1"/>
      <c r="E57" s="1"/>
      <c r="F57" s="56"/>
      <c r="G57" s="56"/>
      <c r="H57" s="1"/>
      <c r="I57" s="56"/>
      <c r="J57" s="97"/>
      <c r="K57" s="53"/>
    </row>
    <row r="58" spans="2:11" ht="12.75">
      <c r="B58" s="32"/>
      <c r="C58" s="190"/>
      <c r="D58" s="190"/>
      <c r="E58" s="1"/>
      <c r="F58" s="61"/>
      <c r="G58" s="61"/>
      <c r="H58" s="14"/>
      <c r="I58" s="56"/>
      <c r="J58" s="97"/>
      <c r="K58" s="53"/>
    </row>
    <row r="59" spans="2:11" ht="3" customHeight="1">
      <c r="B59" s="32"/>
      <c r="C59" s="1"/>
      <c r="D59" s="1"/>
      <c r="E59" s="14"/>
      <c r="F59" s="63"/>
      <c r="G59" s="63"/>
      <c r="H59" s="24"/>
      <c r="I59" s="62"/>
      <c r="J59" s="102"/>
      <c r="K59" s="53"/>
    </row>
    <row r="60" spans="2:11" ht="12.75">
      <c r="B60" s="32"/>
      <c r="C60" s="15" t="s">
        <v>12</v>
      </c>
      <c r="D60" s="1"/>
      <c r="E60" s="14"/>
      <c r="F60" s="63"/>
      <c r="G60" s="63"/>
      <c r="H60" s="24"/>
      <c r="I60" s="62"/>
      <c r="J60" s="97"/>
      <c r="K60" s="53"/>
    </row>
    <row r="61" spans="2:11" ht="12.75">
      <c r="B61" s="32"/>
      <c r="C61" s="115" t="s">
        <v>359</v>
      </c>
      <c r="D61" s="1"/>
      <c r="E61" s="14"/>
      <c r="F61" s="56"/>
      <c r="G61" s="56"/>
      <c r="H61" s="24"/>
      <c r="I61" s="22"/>
      <c r="J61" s="102"/>
      <c r="K61" s="53"/>
    </row>
    <row r="62" spans="2:11" ht="12.75">
      <c r="B62" s="32"/>
      <c r="C62" s="115" t="s">
        <v>360</v>
      </c>
      <c r="D62" s="1"/>
      <c r="E62" s="14"/>
      <c r="F62" s="56"/>
      <c r="G62" s="56"/>
      <c r="H62" s="24"/>
      <c r="I62" s="22"/>
      <c r="J62" s="102"/>
      <c r="K62" s="53"/>
    </row>
    <row r="63" spans="2:11" ht="12.75">
      <c r="B63" s="32"/>
      <c r="C63" s="115" t="s">
        <v>361</v>
      </c>
      <c r="D63" s="1"/>
      <c r="E63" s="14"/>
      <c r="F63" s="56"/>
      <c r="G63" s="56"/>
      <c r="H63" s="24"/>
      <c r="I63" s="22"/>
      <c r="J63" s="102"/>
      <c r="K63" s="53"/>
    </row>
    <row r="64" spans="2:11" ht="12.75">
      <c r="B64" s="32"/>
      <c r="C64" s="42"/>
      <c r="D64" s="1"/>
      <c r="E64" s="14"/>
      <c r="F64" s="56"/>
      <c r="G64" s="56"/>
      <c r="H64" s="24"/>
      <c r="I64" s="22"/>
      <c r="J64" s="102"/>
      <c r="K64" s="53"/>
    </row>
    <row r="65" spans="2:11" ht="12.75">
      <c r="B65" s="52"/>
      <c r="C65" s="49" t="s">
        <v>15</v>
      </c>
      <c r="D65" s="24"/>
      <c r="E65" s="24"/>
      <c r="F65" s="24"/>
      <c r="G65" s="24"/>
      <c r="H65" s="24"/>
      <c r="I65" s="24"/>
      <c r="J65" s="103"/>
      <c r="K65" s="53"/>
    </row>
    <row r="66" spans="2:11" ht="9.75" customHeight="1">
      <c r="B66" s="52"/>
      <c r="C66" s="24"/>
      <c r="D66" s="24"/>
      <c r="E66" s="24"/>
      <c r="F66" s="24"/>
      <c r="G66" s="24"/>
      <c r="H66" s="24"/>
      <c r="I66" s="24"/>
      <c r="J66" s="103"/>
      <c r="K66" s="53"/>
    </row>
    <row r="67" spans="2:11" ht="12.75">
      <c r="B67" s="52"/>
      <c r="C67" s="49" t="s">
        <v>6</v>
      </c>
      <c r="D67" s="89"/>
      <c r="E67" s="89"/>
      <c r="F67" s="89"/>
      <c r="G67" s="89"/>
      <c r="H67" s="24"/>
      <c r="I67" s="24"/>
      <c r="J67" s="103"/>
      <c r="K67" s="53"/>
    </row>
    <row r="68" spans="2:11" ht="12.75">
      <c r="B68" s="52"/>
      <c r="C68" s="49" t="s">
        <v>34</v>
      </c>
      <c r="D68" s="89"/>
      <c r="E68" s="89"/>
      <c r="F68" s="89"/>
      <c r="G68" s="89"/>
      <c r="H68" s="122"/>
      <c r="I68" s="24"/>
      <c r="J68" s="103"/>
      <c r="K68" s="53"/>
    </row>
    <row r="69" spans="2:11" ht="12.75">
      <c r="B69" s="52"/>
      <c r="C69" s="49" t="s">
        <v>4</v>
      </c>
      <c r="D69" s="89"/>
      <c r="E69" s="89"/>
      <c r="F69" s="89"/>
      <c r="G69" s="89"/>
      <c r="H69" s="123"/>
      <c r="I69" s="24"/>
      <c r="J69" s="103"/>
      <c r="K69" s="53"/>
    </row>
    <row r="70" spans="2:11" ht="25.5" customHeight="1">
      <c r="B70" s="52"/>
      <c r="C70" s="232" t="s">
        <v>32</v>
      </c>
      <c r="D70" s="232"/>
      <c r="E70" s="232"/>
      <c r="F70" s="232"/>
      <c r="G70" s="232"/>
      <c r="H70" s="232"/>
      <c r="I70" s="232"/>
      <c r="J70" s="232"/>
      <c r="K70" s="53"/>
    </row>
    <row r="71" spans="2:11" ht="31.5" customHeight="1">
      <c r="B71" s="52"/>
      <c r="C71" s="233" t="s">
        <v>33</v>
      </c>
      <c r="D71" s="233"/>
      <c r="E71" s="233"/>
      <c r="F71" s="233"/>
      <c r="G71" s="233"/>
      <c r="H71" s="233"/>
      <c r="I71" s="233"/>
      <c r="J71" s="233"/>
      <c r="K71" s="53"/>
    </row>
    <row r="72" spans="2:11" ht="12.75">
      <c r="B72" s="52"/>
      <c r="C72" s="49" t="s">
        <v>11</v>
      </c>
      <c r="D72" s="51"/>
      <c r="E72" s="51"/>
      <c r="F72" s="51"/>
      <c r="G72" s="51"/>
      <c r="H72" s="14"/>
      <c r="I72" s="24"/>
      <c r="J72" s="103"/>
      <c r="K72" s="53"/>
    </row>
    <row r="73" spans="2:11" ht="7.5" customHeight="1">
      <c r="B73" s="32"/>
      <c r="C73" s="14"/>
      <c r="D73" s="14"/>
      <c r="E73" s="14"/>
      <c r="F73" s="62"/>
      <c r="G73" s="62"/>
      <c r="H73" s="14"/>
      <c r="I73" s="24"/>
      <c r="J73" s="103"/>
      <c r="K73" s="53"/>
    </row>
    <row r="74" spans="2:11" ht="12.75">
      <c r="B74" s="32"/>
      <c r="C74" s="49" t="s">
        <v>8</v>
      </c>
      <c r="D74" s="51"/>
      <c r="E74" s="51"/>
      <c r="F74" s="51"/>
      <c r="G74" s="51"/>
      <c r="H74" s="14"/>
      <c r="I74" s="24"/>
      <c r="J74" s="103"/>
      <c r="K74" s="34"/>
    </row>
    <row r="75" spans="2:11" ht="13.5" customHeight="1">
      <c r="B75" s="32"/>
      <c r="C75" s="49" t="s">
        <v>20</v>
      </c>
      <c r="D75" s="90"/>
      <c r="E75" s="90"/>
      <c r="F75" s="90"/>
      <c r="G75" s="90"/>
      <c r="H75" s="14"/>
      <c r="I75" s="24"/>
      <c r="J75" s="103"/>
      <c r="K75" s="34"/>
    </row>
    <row r="76" spans="2:11" ht="13.5" customHeight="1">
      <c r="B76" s="32"/>
      <c r="C76" s="134" t="s">
        <v>43</v>
      </c>
      <c r="D76" s="49"/>
      <c r="E76" s="49"/>
      <c r="F76" s="49"/>
      <c r="G76" s="49"/>
      <c r="H76" s="14"/>
      <c r="I76" s="24"/>
      <c r="J76" s="103"/>
      <c r="K76" s="34"/>
    </row>
    <row r="77" spans="2:11" ht="13.5" customHeight="1">
      <c r="B77" s="32"/>
      <c r="C77" s="49" t="s">
        <v>41</v>
      </c>
      <c r="D77" s="16"/>
      <c r="E77" s="16"/>
      <c r="F77" s="16"/>
      <c r="G77" s="16"/>
      <c r="H77" s="14"/>
      <c r="I77" s="1"/>
      <c r="J77" s="104"/>
      <c r="K77" s="34"/>
    </row>
    <row r="78" spans="2:11" ht="7.5" customHeight="1" thickBot="1">
      <c r="B78" s="35"/>
      <c r="C78" s="21"/>
      <c r="D78" s="65"/>
      <c r="E78" s="65"/>
      <c r="F78" s="65"/>
      <c r="G78" s="65"/>
      <c r="H78" s="129"/>
      <c r="I78" s="21"/>
      <c r="J78" s="105"/>
      <c r="K78" s="66"/>
    </row>
    <row r="116" spans="2:10" ht="12.75">
      <c r="B116" s="32"/>
      <c r="D116" s="17"/>
      <c r="E116" s="17"/>
      <c r="F116" s="17"/>
      <c r="G116" s="17"/>
      <c r="I116" s="1"/>
      <c r="J116" s="106"/>
    </row>
    <row r="117" spans="2:10" ht="12.75">
      <c r="B117" s="32"/>
      <c r="D117" s="23"/>
      <c r="E117" s="23"/>
      <c r="F117" s="23"/>
      <c r="G117" s="23"/>
      <c r="I117" s="1"/>
      <c r="J117" s="106"/>
    </row>
    <row r="118" spans="2:10" ht="12.75">
      <c r="B118" s="32"/>
      <c r="D118" s="23"/>
      <c r="E118" s="23"/>
      <c r="F118" s="23"/>
      <c r="G118" s="23"/>
      <c r="I118" s="1"/>
      <c r="J118" s="106"/>
    </row>
    <row r="119" spans="2:10" ht="12.75">
      <c r="B119" s="32"/>
      <c r="D119" s="2"/>
      <c r="E119" s="2"/>
      <c r="F119" s="2"/>
      <c r="G119" s="2"/>
      <c r="I119" s="1"/>
      <c r="J119" s="106"/>
    </row>
  </sheetData>
  <sheetProtection/>
  <mergeCells count="13">
    <mergeCell ref="E12:E13"/>
    <mergeCell ref="F12:F13"/>
    <mergeCell ref="G12:G13"/>
    <mergeCell ref="I12:J12"/>
    <mergeCell ref="C70:J70"/>
    <mergeCell ref="C71:J71"/>
    <mergeCell ref="C4:J4"/>
    <mergeCell ref="C5:J5"/>
    <mergeCell ref="C6:J6"/>
    <mergeCell ref="C11:E11"/>
    <mergeCell ref="F11:J11"/>
    <mergeCell ref="C12:C13"/>
    <mergeCell ref="D12:D13"/>
  </mergeCells>
  <dataValidations count="6">
    <dataValidation type="whole" allowBlank="1" showInputMessage="1" showErrorMessage="1" errorTitle="Error en código de sustento" error="Verifique los códigos válidos en la tabla CÓDIGO DE SUSTENTO&#10;&#10;" sqref="I72:I65536 I29:I70 I25 I15:I19 I1:I11">
      <formula1>1</formula1>
      <formula2>4</formula2>
    </dataValidation>
    <dataValidation type="whole" allowBlank="1" showInputMessage="1" showErrorMessage="1" sqref="H72:H65536 H14:H69 H10:H12 H1:H8">
      <formula1>1</formula1>
      <formula2>2</formula2>
    </dataValidation>
    <dataValidation type="decimal" operator="greaterThanOrEqual" allowBlank="1" showInputMessage="1" showErrorMessage="1" errorTitle="Error en el Importe" error="Ingresar valores numéricos y mayores de 0" sqref="E14:E48">
      <formula1>0</formula1>
    </dataValidation>
    <dataValidation allowBlank="1" showInputMessage="1" showErrorMessage="1" errorTitle="Error en código de sustento" error="Verifique los códigos válidos en la tabla CÓDIGO DE SUSTENTO&#10;&#10;" sqref="I12:J12 I13"/>
    <dataValidation allowBlank="1" showInputMessage="1" showErrorMessage="1" errorTitle="Error en RUC" error="Verifique que la longitud del RUC sea de 11 dígitos" sqref="G14:G28"/>
    <dataValidation type="whole" allowBlank="1" showInputMessage="1" showErrorMessage="1" errorTitle="Error en código de sustento" error="Verificar el código del documento de sustento según la tabla CODIGO DE SUSTENTO" sqref="I14 I26:I28 I20:I24">
      <formula1>1</formula1>
      <formula2>4</formula2>
    </dataValidation>
  </dataValidations>
  <printOptions/>
  <pageMargins left="0.31496062992125984" right="0.31496062992125984" top="0.1968503937007874" bottom="0.17" header="0.31496062992125984" footer="0.17"/>
  <pageSetup horizontalDpi="120" verticalDpi="12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CONTABILIDAD</cp:lastModifiedBy>
  <cp:lastPrinted>2011-04-25T22:24:26Z</cp:lastPrinted>
  <dcterms:created xsi:type="dcterms:W3CDTF">2004-10-04T19:55:34Z</dcterms:created>
  <dcterms:modified xsi:type="dcterms:W3CDTF">2011-04-25T22:24:27Z</dcterms:modified>
  <cp:category/>
  <cp:version/>
  <cp:contentType/>
  <cp:contentStatus/>
</cp:coreProperties>
</file>